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p5fiscal.sharepoint.com/Shared Documents/Montana/Cost model/"/>
    </mc:Choice>
  </mc:AlternateContent>
  <xr:revisionPtr revIDLastSave="63" documentId="8_{8AEF6779-47C7-3842-8808-CE9B3485DD07}" xr6:coauthVersionLast="47" xr6:coauthVersionMax="47" xr10:uidLastSave="{B1E7B5C1-ADD9-404A-AB31-B376E387E742}"/>
  <bookViews>
    <workbookView xWindow="4240" yWindow="840" windowWidth="27000" windowHeight="19140" xr2:uid="{A7D98ABA-97B8-E440-B894-45045817B95D}"/>
  </bookViews>
  <sheets>
    <sheet name="Child Care Center" sheetId="35" r:id="rId1"/>
    <sheet name="Quality Center Profile" sheetId="1" state="hidden" r:id="rId2"/>
    <sheet name="Family Child Care Home" sheetId="100" r:id="rId3"/>
    <sheet name="QualityHomeProfile" sheetId="101" state="hidden" r:id="rId4"/>
    <sheet name="Wages" sheetId="91" state="hidden" r:id="rId5"/>
    <sheet name="Variables" sheetId="90" state="hidden" r:id="rId6"/>
    <sheet name="Nonpersonnel" sheetId="77" state="hidden" r:id="rId7"/>
    <sheet name="Subsidy rates" sheetId="102" state="hidden" r:id="rId8"/>
    <sheet name="Fed CACFP" sheetId="103" state="hidden" r:id="rId9"/>
    <sheet name="Min wage" sheetId="108" state="hidden" r:id="rId10"/>
  </sheets>
  <externalReferences>
    <externalReference r:id="rId11"/>
    <externalReference r:id="rId12"/>
    <externalReference r:id="rId13"/>
  </externalReferences>
  <definedNames>
    <definedName name="_NumberTeachingStaff">'Quality Center Profile'!$A$29</definedName>
    <definedName name="AAdegree" localSheetId="8">'[1]VariablesINPUT-CTR'!#REF!</definedName>
    <definedName name="AAdegree">'Child Care Center'!#REF!</definedName>
    <definedName name="AdditionalBenefits" localSheetId="2">'[2]Quality Center Profile'!$D$42</definedName>
    <definedName name="AdditionalBenefits" localSheetId="8">'[1]Quality Center Profile'!$D$42</definedName>
    <definedName name="AdditionalBenefits">'Quality Center Profile'!$D$45</definedName>
    <definedName name="Addl_benefits_per_staff" localSheetId="8">'[1]Quality Center Profile'!$C$42</definedName>
    <definedName name="Addl_benefits_per_staff">'Quality Center Profile'!$C$45</definedName>
    <definedName name="Admin_Staff" localSheetId="2">'[2]Quality Center Profile'!$D$21</definedName>
    <definedName name="Admin_Staff" localSheetId="8">'[1]Quality Center Profile'!$D$21</definedName>
    <definedName name="Admin_Staff">'Quality Center Profile'!$D$21</definedName>
    <definedName name="Administration__by_child">#REF!</definedName>
    <definedName name="Asst_Teacher" localSheetId="2">'[2]Quality Center Profile'!$D$24</definedName>
    <definedName name="Asst_Teacher" localSheetId="8">'[1]Quality Center Profile'!$D$24</definedName>
    <definedName name="Asst_Teacher">'Quality Center Profile'!$D$24</definedName>
    <definedName name="BadDebt" localSheetId="8">'[1]VariablesINPUT-CTR'!$E$15</definedName>
    <definedName name="BadDebt">'Child Care Center'!$C$64</definedName>
    <definedName name="BAdegree" localSheetId="8">'[1]VariablesINPUT-CTR'!#REF!</definedName>
    <definedName name="BAdegree">'Child Care Center'!#REF!</definedName>
    <definedName name="BLSsalary" localSheetId="8">'[1]VariablesINPUT-CTR'!#REF!</definedName>
    <definedName name="BLSsalary">'Family Child Care Home'!#REF!</definedName>
    <definedName name="City_Fours">#REF!</definedName>
    <definedName name="City_Infants">#REF!</definedName>
    <definedName name="City_Threes">#REF!</definedName>
    <definedName name="City_Toddlers">#REF!</definedName>
    <definedName name="Controls">[3]Template!#REF!</definedName>
    <definedName name="COunty" localSheetId="8">'[1]VariablesINPUT-CTR'!#REF!</definedName>
    <definedName name="COunty">'Child Care Center'!#REF!</definedName>
    <definedName name="Education_Program__by_child">#REF!</definedName>
    <definedName name="EnhRatio" localSheetId="8">'[1]VariablesINPUT-CTR'!$D$19</definedName>
    <definedName name="EnhRatio">'Child Care Center'!#REF!</definedName>
    <definedName name="EnhSpace" localSheetId="8">'[1]VariablesINPUT-CTR'!$D$18</definedName>
    <definedName name="EnhSpace">'Child Care Center'!#REF!</definedName>
    <definedName name="EnrollEffic" localSheetId="8">'[1]VariablesINPUT-CTR'!$E$14</definedName>
    <definedName name="EnrollEffic">'Child Care Center'!$C$63</definedName>
    <definedName name="Floater_Assts" localSheetId="2">'[2]Quality Center Profile'!$D$25</definedName>
    <definedName name="Floater_Assts" localSheetId="8">'[1]Quality Center Profile'!$D$25</definedName>
    <definedName name="Floater_Assts">'Quality Center Profile'!$D$27</definedName>
    <definedName name="Fours" localSheetId="8">'[1]Quality Center Profile'!$A$11</definedName>
    <definedName name="Fours">'Quality Center Profile'!#REF!</definedName>
    <definedName name="Fours_Private_Tuition" localSheetId="2">'Family Child Care Home'!#REF!</definedName>
    <definedName name="Fours_Private_Tuition">'Child Care Center'!#REF!</definedName>
    <definedName name="FOURS_Tuition">#REF!</definedName>
    <definedName name="FoursClassrooms" localSheetId="8">'[1]Quality Center Profile'!$F$11</definedName>
    <definedName name="FoursClassrooms">'Quality Center Profile'!#REF!</definedName>
    <definedName name="GRT">'Quality Center Profile'!#REF!</definedName>
    <definedName name="HealthIns" localSheetId="8">'[1]VariablesINPUT-CTR'!$D$25</definedName>
    <definedName name="HealthIns">'Child Care Center'!$D$23</definedName>
    <definedName name="HealthInsFCC">'Family Child Care Home'!$D$20</definedName>
    <definedName name="Infant_Aides" localSheetId="2">'[2]Quality Center Profile'!#REF!</definedName>
    <definedName name="Infant_Aides" localSheetId="8">'[1]Quality Center Profile'!#REF!</definedName>
    <definedName name="Infant_Aides">'Quality Center Profile'!#REF!</definedName>
    <definedName name="Infant_Assts" localSheetId="2">'[2]Quality Center Profile'!#REF!</definedName>
    <definedName name="Infant_Assts" localSheetId="8">'[1]Quality Center Profile'!#REF!</definedName>
    <definedName name="Infant_Assts">'Quality Center Profile'!#REF!</definedName>
    <definedName name="INFANT_Tuition">#REF!</definedName>
    <definedName name="InfantClassrooms" localSheetId="2">'[2]Quality Center Profile'!$F$7</definedName>
    <definedName name="InfantClassrooms" localSheetId="8">'[1]Quality Center Profile'!$F$7</definedName>
    <definedName name="InfantClassrooms">'Quality Center Profile'!$F$7</definedName>
    <definedName name="Infants" localSheetId="2">'[2]Quality Center Profile'!$A$7</definedName>
    <definedName name="Infants" localSheetId="8">'[1]Quality Center Profile'!$A$7</definedName>
    <definedName name="Infants">'Quality Center Profile'!$A$7</definedName>
    <definedName name="Infants_Private_Tuition" localSheetId="2">'Family Child Care Home'!#REF!</definedName>
    <definedName name="Infants_Private_Tuition">'Child Care Center'!#REF!</definedName>
    <definedName name="Kinder">'Child Care Center'!#REF!</definedName>
    <definedName name="KinderParity" localSheetId="8">'[1]VariablesINPUT-CTR'!$D$20</definedName>
    <definedName name="KinderParity">'Family Child Care Home'!$D$14</definedName>
    <definedName name="LeadTeacher" localSheetId="2">'[2]Quality Center Profile'!$D$23</definedName>
    <definedName name="LeadTeacher" localSheetId="8">'[1]Quality Center Profile'!$D$23</definedName>
    <definedName name="LeadTeacher">'Quality Center Profile'!$D$23</definedName>
    <definedName name="MandatoryBenefits" localSheetId="2">'[2]Quality Center Profile'!$D$40</definedName>
    <definedName name="MandatoryBenefits" localSheetId="8">'[1]Quality Center Profile'!$D$40</definedName>
    <definedName name="MandatoryBenefits">'Quality Center Profile'!$D$43</definedName>
    <definedName name="MinWage">'Child Care Center'!#REF!</definedName>
    <definedName name="ModelScale" localSheetId="8">'[1]VariablesINPUT-CTR'!#REF!</definedName>
    <definedName name="ModelScale">'Child Care Center'!#REF!</definedName>
    <definedName name="Nonpersonnel" localSheetId="2">'[2]Quality Center Profile'!$D$49</definedName>
    <definedName name="Nonpersonnel" localSheetId="8">'[1]Quality Center Profile'!$D$49</definedName>
    <definedName name="Nonpersonnel">'Quality Center Profile'!$D$57</definedName>
    <definedName name="NP_EdProgram" localSheetId="2">'[2]Quality Center Profile'!$D$46</definedName>
    <definedName name="NP_EdProgram" localSheetId="8">'[1]Quality Center Profile'!$D$46</definedName>
    <definedName name="NP_EdProgram">'Quality Center Profile'!$E$51</definedName>
    <definedName name="NP_EdProgramFCC">'Quality Center Profile'!$E$51</definedName>
    <definedName name="NP_MgtAdmin" localSheetId="2">'[2]Quality Center Profile'!$D$48</definedName>
    <definedName name="NP_MgtAdmin" localSheetId="8">'[1]Quality Center Profile'!$D$48</definedName>
    <definedName name="NP_MgtAdmin">'Quality Center Profile'!$E$53</definedName>
    <definedName name="NP_MgtAdminFCC">'Quality Center Profile'!$E$53</definedName>
    <definedName name="NP_Occupancy" localSheetId="2">'[2]Quality Center Profile'!$D$47</definedName>
    <definedName name="NP_Occupancy" localSheetId="8">'[1]Quality Center Profile'!$D$47</definedName>
    <definedName name="NP_Occupancy">'Quality Center Profile'!$E$52</definedName>
    <definedName name="NP_OccupancyFCC">'Quality Center Profile'!$E$52</definedName>
    <definedName name="Occupancy">'Quality Center Profile'!$E$52</definedName>
    <definedName name="Occupancy__by_classroom">#REF!</definedName>
    <definedName name="Ones_Private_Tuition">'Child Care Center'!#REF!</definedName>
    <definedName name="Paid_Leave" localSheetId="8">'[1]VariablesINPUT-CTR'!$D$27</definedName>
    <definedName name="Paid_Leave">'Child Care Center'!$D$26</definedName>
    <definedName name="PaidLeaveFCC">'Family Child Care Home'!$D$23</definedName>
    <definedName name="Personnel" localSheetId="8">'[1]Quality Center Profile'!$D$43</definedName>
    <definedName name="Personnel">'Quality Center Profile'!$D$48</definedName>
    <definedName name="Pre3Children">'Quality Center Profile'!$A$10</definedName>
    <definedName name="Pre4Children">'Quality Center Profile'!#REF!</definedName>
    <definedName name="Pre4classroom">'Quality Center Profile'!#REF!</definedName>
    <definedName name="Preschool_Aides" localSheetId="2">'[2]Quality Center Profile'!#REF!</definedName>
    <definedName name="Preschool_Aides" localSheetId="8">'[1]Quality Center Profile'!#REF!</definedName>
    <definedName name="Preschool_Aides">'Quality Center Profile'!#REF!</definedName>
    <definedName name="PreschoolClassrooms">'Quality Center Profile'!#REF!</definedName>
    <definedName name="Preschoolers">'Quality Center Profile'!$A$10</definedName>
    <definedName name="PreschoolersClassroom">'Quality Center Profile'!$F$10</definedName>
    <definedName name="PreschoolersClassroom3">'Quality Center Profile'!$F$10</definedName>
    <definedName name="_xlnm.Print_Area" localSheetId="0">'Child Care Center'!$A$1:$M$16</definedName>
    <definedName name="_xlnm.Print_Area" localSheetId="2">'Family Child Care Home'!$A$2:$M$13</definedName>
    <definedName name="_xlnm.Print_Area" localSheetId="3">QualityHomeProfile!$N$6:$V$13</definedName>
    <definedName name="ProfDev" localSheetId="8">'[1]VariablesINPUT-CTR'!$D$23</definedName>
    <definedName name="ProfDev">'Child Care Center'!#REF!</definedName>
    <definedName name="RatioOpt">'Child Care Center'!$E$2</definedName>
    <definedName name="Region" localSheetId="8">'[1]VariablesINPUT-CTR'!$G$2</definedName>
    <definedName name="Region">'Child Care Center'!$E$3</definedName>
    <definedName name="RegionFCC">'Family Child Care Home'!$E$3</definedName>
    <definedName name="Reserve_Fund" localSheetId="2">'[2]Quality Center Profile'!$D$51</definedName>
    <definedName name="Reserve_Fund" localSheetId="8">'[1]Quality Center Profile'!$D$51</definedName>
    <definedName name="Reserve_Fund">'Quality Center Profile'!$D$59</definedName>
    <definedName name="Salary">'Child Care Center'!$D$18</definedName>
    <definedName name="SalaryData" localSheetId="8">'[1]VariablesINPUT-CTR'!#REF!</definedName>
    <definedName name="SalaryData">'Child Care Center'!#REF!</definedName>
    <definedName name="SalaryLevel">'Child Care Center'!$D$18</definedName>
    <definedName name="SalaryScale" localSheetId="8">'[1]VariablesINPUT-CTR'!$D$21</definedName>
    <definedName name="SalaryScale">'Child Care Center'!#REF!</definedName>
    <definedName name="SalaryScaleFCC">'Family Child Care Home'!$D$15</definedName>
    <definedName name="SchoolageClassroom">'Quality Center Profile'!$F$11</definedName>
    <definedName name="Schoolagers">'Quality Center Profile'!$A$11</definedName>
    <definedName name="Sick_Days" localSheetId="8">'[1]VariablesINPUT-CTR'!$D$26</definedName>
    <definedName name="Sick_Days">'Child Care Center'!$D$25</definedName>
    <definedName name="SickDaysFCC">'Family Child Care Home'!$D$22</definedName>
    <definedName name="StarLevel" localSheetId="8">'[1]VariablesINPUT-CTR'!$G$1</definedName>
    <definedName name="StarLevel">'Child Care Center'!$E$2</definedName>
    <definedName name="Subs" localSheetId="2">'[2]Quality Center Profile'!$D$32</definedName>
    <definedName name="Subs" localSheetId="8">'[1]Quality Center Profile'!$D$32</definedName>
    <definedName name="Subs">'Quality Center Profile'!$D$35</definedName>
    <definedName name="Threes" localSheetId="8">'[1]Quality Center Profile'!$A$10</definedName>
    <definedName name="Threes">'Quality Center Profile'!#REF!</definedName>
    <definedName name="Threes_Private_Tuition" localSheetId="2">'Family Child Care Home'!#REF!</definedName>
    <definedName name="Threes_Private_Tuition">'Child Care Center'!#REF!</definedName>
    <definedName name="THREES_tuition">#REF!</definedName>
    <definedName name="ThreesClassroom">'Quality Center Profile'!#REF!</definedName>
    <definedName name="ThreesClassrooms" localSheetId="8">'[1]Quality Center Profile'!$F$10</definedName>
    <definedName name="ThreesClassrooms">'Quality Center Profile'!$F$10</definedName>
    <definedName name="TODDLER_Tuition">#REF!</definedName>
    <definedName name="ToddlerClassrooms" localSheetId="2">'[2]Quality Center Profile'!$F$8</definedName>
    <definedName name="ToddlerClassrooms" localSheetId="8">'[1]Quality Center Profile'!$F$8</definedName>
    <definedName name="ToddlerClassrooms">'Quality Center Profile'!$F$9</definedName>
    <definedName name="Toddlers" localSheetId="2">'[2]Quality Center Profile'!$A$8</definedName>
    <definedName name="Toddlers" localSheetId="8">'[1]Quality Center Profile'!$A$8</definedName>
    <definedName name="Toddlers">'Quality Center Profile'!$A$9</definedName>
    <definedName name="TOTAL_Children">#REF!</definedName>
    <definedName name="TotalChildren" localSheetId="2">'[2]Quality Center Profile'!$A$12</definedName>
    <definedName name="TotalChildren" localSheetId="8">'[1]Quality Center Profile'!$A$12</definedName>
    <definedName name="TotalChildren">'Quality Center Profile'!$A$12</definedName>
    <definedName name="TotalClassrooms" localSheetId="2">'[2]Quality Center Profile'!$F$12</definedName>
    <definedName name="TotalClassrooms" localSheetId="8">'[1]Quality Center Profile'!$F$12</definedName>
    <definedName name="TotalClassrooms">'Quality Center Profile'!$F$12</definedName>
    <definedName name="Twos" localSheetId="8">'[1]Quality Center Profile'!$A$9</definedName>
    <definedName name="Twos">'Quality Center Profile'!$A$10</definedName>
    <definedName name="Twos_Private_Tuition">'Child Care Center'!#REF!</definedName>
    <definedName name="TwosClassroom">'Quality Center Profile'!$F$10</definedName>
    <definedName name="TwosClassrooms" localSheetId="8">'[1]Quality Center Profile'!$F$9</definedName>
    <definedName name="TwosClassrooms">'Quality Center Profile'!$F$10</definedName>
    <definedName name="User">'Child Care Center'!#REF!</definedName>
    <definedName name="VOUCHER_Fours">#REF!</definedName>
    <definedName name="VOUCHER_Infants">#REF!</definedName>
    <definedName name="VOUCHER_Threes">#REF!</definedName>
    <definedName name="VOUCHER_Toddlers">#REF!</definedName>
    <definedName name="Yes" localSheetId="8">'[1]VariablesINPUT-CTR'!#REF!</definedName>
    <definedName name="Yes">'Child Care Center'!#REF!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9" i="35" l="1"/>
  <c r="I79" i="35" s="1"/>
  <c r="H79" i="35" s="1"/>
  <c r="J79" i="35" s="1"/>
  <c r="L78" i="35"/>
  <c r="I78" i="35" s="1"/>
  <c r="L80" i="35"/>
  <c r="I80" i="35" s="1"/>
  <c r="L81" i="35"/>
  <c r="I81" i="35" s="1"/>
  <c r="B9" i="102"/>
  <c r="D9" i="102"/>
  <c r="E9" i="102"/>
  <c r="F9" i="102"/>
  <c r="C9" i="102"/>
  <c r="L82" i="35"/>
  <c r="I82" i="35" s="1"/>
  <c r="F20" i="102"/>
  <c r="C23" i="102"/>
  <c r="D23" i="102"/>
  <c r="E23" i="102"/>
  <c r="F23" i="102"/>
  <c r="B23" i="102"/>
  <c r="F13" i="102"/>
  <c r="C13" i="102"/>
  <c r="D13" i="102"/>
  <c r="E13" i="102"/>
  <c r="B13" i="102"/>
  <c r="C4" i="102"/>
  <c r="D4" i="102"/>
  <c r="E4" i="102"/>
  <c r="F4" i="102"/>
  <c r="B4" i="102"/>
  <c r="G86" i="35"/>
  <c r="G87" i="35"/>
  <c r="G88" i="35"/>
  <c r="G89" i="35"/>
  <c r="G79" i="35"/>
  <c r="G80" i="35"/>
  <c r="G81" i="35"/>
  <c r="G82" i="35"/>
  <c r="G72" i="35"/>
  <c r="G73" i="35"/>
  <c r="G74" i="35"/>
  <c r="G75" i="35"/>
  <c r="B51" i="35"/>
  <c r="J66" i="1"/>
  <c r="F8" i="1"/>
  <c r="B8" i="1"/>
  <c r="H54" i="1" s="1"/>
  <c r="E10" i="35"/>
  <c r="C8" i="1" s="1"/>
  <c r="D10" i="35"/>
  <c r="D8" i="1" s="1"/>
  <c r="A4" i="90"/>
  <c r="A11" i="90" s="1"/>
  <c r="H82" i="35" l="1"/>
  <c r="C10" i="35"/>
  <c r="D51" i="35" s="1"/>
  <c r="A8" i="1"/>
  <c r="E8" i="1" s="1"/>
  <c r="G8" i="1"/>
  <c r="J82" i="35" l="1"/>
  <c r="B27" i="102"/>
  <c r="B25" i="102"/>
  <c r="B17" i="102"/>
  <c r="B15" i="102"/>
  <c r="B12" i="102"/>
  <c r="D9" i="35" l="1"/>
  <c r="B26" i="102"/>
  <c r="B22" i="102"/>
  <c r="B16" i="102"/>
  <c r="B8" i="102"/>
  <c r="B6" i="102"/>
  <c r="B3" i="102"/>
  <c r="H80" i="35" l="1"/>
  <c r="F67" i="1"/>
  <c r="D54" i="101"/>
  <c r="J80" i="35" l="1"/>
  <c r="C45" i="1"/>
  <c r="B48" i="100"/>
  <c r="B49" i="100"/>
  <c r="B50" i="100"/>
  <c r="B47" i="100"/>
  <c r="B53" i="100"/>
  <c r="C51" i="100"/>
  <c r="E54" i="101" s="1"/>
  <c r="D50" i="100"/>
  <c r="I55" i="101" s="1"/>
  <c r="D49" i="100"/>
  <c r="H55" i="101" s="1"/>
  <c r="D48" i="100"/>
  <c r="G55" i="101" s="1"/>
  <c r="D47" i="100"/>
  <c r="F55" i="101" s="1"/>
  <c r="E40" i="101"/>
  <c r="E39" i="101"/>
  <c r="E38" i="101"/>
  <c r="C26" i="91"/>
  <c r="F56" i="1" l="1"/>
  <c r="F55" i="1"/>
  <c r="F54" i="1"/>
  <c r="F53" i="1"/>
  <c r="F52" i="1"/>
  <c r="F51" i="1"/>
  <c r="F14" i="35"/>
  <c r="B3" i="77" s="1"/>
  <c r="B49" i="77"/>
  <c r="E55" i="1"/>
  <c r="F7" i="1"/>
  <c r="E9" i="35"/>
  <c r="F9" i="1"/>
  <c r="E11" i="35"/>
  <c r="C9" i="1" s="1"/>
  <c r="F11" i="1"/>
  <c r="E13" i="35"/>
  <c r="C11" i="1" s="1"/>
  <c r="J65" i="1" s="1"/>
  <c r="F10" i="1"/>
  <c r="E12" i="35"/>
  <c r="C12" i="35" s="1"/>
  <c r="D53" i="35" s="1"/>
  <c r="H66" i="1" s="1"/>
  <c r="A1" i="91"/>
  <c r="B7" i="91" s="1"/>
  <c r="D7" i="1"/>
  <c r="D12" i="35"/>
  <c r="D10" i="1" s="1"/>
  <c r="D11" i="35"/>
  <c r="D9" i="1" s="1"/>
  <c r="D13" i="35"/>
  <c r="D11" i="1" s="1"/>
  <c r="E7" i="91"/>
  <c r="R24" i="35" s="1"/>
  <c r="S24" i="35" s="1"/>
  <c r="C79" i="100"/>
  <c r="D43" i="101"/>
  <c r="C11" i="102"/>
  <c r="C21" i="102" s="1"/>
  <c r="D11" i="102"/>
  <c r="D21" i="102" s="1"/>
  <c r="E11" i="102"/>
  <c r="E21" i="102" s="1"/>
  <c r="F11" i="102"/>
  <c r="F21" i="102" s="1"/>
  <c r="B11" i="102"/>
  <c r="B21" i="102" s="1"/>
  <c r="N16" i="100"/>
  <c r="P16" i="100"/>
  <c r="R16" i="100"/>
  <c r="L16" i="100"/>
  <c r="L15" i="100"/>
  <c r="B90" i="100"/>
  <c r="B82" i="100"/>
  <c r="B78" i="100"/>
  <c r="B77" i="100"/>
  <c r="B75" i="100"/>
  <c r="B74" i="100"/>
  <c r="B73" i="100"/>
  <c r="I67" i="1"/>
  <c r="H67" i="1"/>
  <c r="H78" i="35"/>
  <c r="D58" i="101"/>
  <c r="C91" i="100" s="1"/>
  <c r="D69" i="1"/>
  <c r="C94" i="35" s="1"/>
  <c r="E47" i="101"/>
  <c r="D42" i="101"/>
  <c r="D41" i="100" s="1"/>
  <c r="C41" i="100" s="1"/>
  <c r="I40" i="77"/>
  <c r="I39" i="77"/>
  <c r="I38" i="77"/>
  <c r="H38" i="77"/>
  <c r="H40" i="77"/>
  <c r="H39" i="77"/>
  <c r="F9" i="91"/>
  <c r="R26" i="35" s="1"/>
  <c r="S26" i="35" s="1"/>
  <c r="F7" i="91"/>
  <c r="R19" i="100" s="1"/>
  <c r="S19" i="100" s="1"/>
  <c r="D23" i="91"/>
  <c r="E23" i="91"/>
  <c r="F23" i="91"/>
  <c r="D25" i="91"/>
  <c r="E25" i="91"/>
  <c r="F25" i="91"/>
  <c r="D26" i="91"/>
  <c r="E26" i="91" s="1"/>
  <c r="F26" i="91" s="1"/>
  <c r="C23" i="91"/>
  <c r="C25" i="91"/>
  <c r="C45" i="91"/>
  <c r="D45" i="91"/>
  <c r="E45" i="91"/>
  <c r="F45" i="91"/>
  <c r="C44" i="91"/>
  <c r="D44" i="91"/>
  <c r="E44" i="91"/>
  <c r="F44" i="91"/>
  <c r="C40" i="91"/>
  <c r="D40" i="91"/>
  <c r="E40" i="91"/>
  <c r="F40" i="91"/>
  <c r="C41" i="91"/>
  <c r="D41" i="91"/>
  <c r="E41" i="91"/>
  <c r="F41" i="91"/>
  <c r="C42" i="91"/>
  <c r="D42" i="91"/>
  <c r="E42" i="91"/>
  <c r="F42" i="91"/>
  <c r="C43" i="91"/>
  <c r="D43" i="91"/>
  <c r="E43" i="91"/>
  <c r="F43" i="91"/>
  <c r="F39" i="91"/>
  <c r="E39" i="91"/>
  <c r="D39" i="91"/>
  <c r="C39" i="91"/>
  <c r="C46" i="1"/>
  <c r="E59" i="1"/>
  <c r="B85" i="35"/>
  <c r="B77" i="35"/>
  <c r="E6" i="91"/>
  <c r="R23" i="35" s="1"/>
  <c r="S23" i="35" s="1"/>
  <c r="E8" i="91"/>
  <c r="E5" i="91" s="1"/>
  <c r="R22" i="35" s="1"/>
  <c r="S22" i="35" s="1"/>
  <c r="B93" i="35"/>
  <c r="B82" i="35"/>
  <c r="B81" i="35"/>
  <c r="B79" i="35"/>
  <c r="B78" i="35"/>
  <c r="D27" i="77"/>
  <c r="D28" i="77"/>
  <c r="D29" i="77"/>
  <c r="D31" i="77"/>
  <c r="D33" i="77"/>
  <c r="D19" i="77"/>
  <c r="D20" i="77"/>
  <c r="D7" i="77"/>
  <c r="D9" i="77"/>
  <c r="D10" i="77"/>
  <c r="D11" i="77"/>
  <c r="D12" i="77"/>
  <c r="D13" i="77"/>
  <c r="P18" i="35"/>
  <c r="R18" i="35"/>
  <c r="L17" i="35"/>
  <c r="F19" i="91"/>
  <c r="E19" i="91"/>
  <c r="D19" i="91"/>
  <c r="F18" i="91"/>
  <c r="E18" i="91"/>
  <c r="D18" i="91"/>
  <c r="F17" i="91"/>
  <c r="E17" i="91"/>
  <c r="D17" i="91"/>
  <c r="F13" i="91"/>
  <c r="E13" i="91"/>
  <c r="D13" i="91"/>
  <c r="G8" i="102"/>
  <c r="B36" i="91"/>
  <c r="B18" i="91"/>
  <c r="A18" i="91"/>
  <c r="A27" i="91"/>
  <c r="F27" i="102"/>
  <c r="E27" i="102"/>
  <c r="D27" i="102"/>
  <c r="C27" i="102"/>
  <c r="F25" i="102"/>
  <c r="E25" i="102"/>
  <c r="D25" i="102"/>
  <c r="C25" i="102"/>
  <c r="F22" i="102"/>
  <c r="E22" i="102"/>
  <c r="D22" i="102"/>
  <c r="C22" i="102"/>
  <c r="C15" i="102"/>
  <c r="D15" i="102"/>
  <c r="E15" i="102"/>
  <c r="F15" i="102"/>
  <c r="E16" i="102"/>
  <c r="F16" i="102"/>
  <c r="C17" i="102"/>
  <c r="D17" i="102"/>
  <c r="E17" i="102"/>
  <c r="F17" i="102"/>
  <c r="F12" i="102"/>
  <c r="E12" i="102"/>
  <c r="D12" i="102"/>
  <c r="C12" i="102"/>
  <c r="C6" i="102"/>
  <c r="D6" i="102"/>
  <c r="E6" i="102"/>
  <c r="F6" i="102"/>
  <c r="C8" i="102"/>
  <c r="D8" i="102"/>
  <c r="E8" i="102"/>
  <c r="F8" i="102"/>
  <c r="D3" i="102"/>
  <c r="E3" i="102"/>
  <c r="F3" i="102"/>
  <c r="C3" i="102"/>
  <c r="C16" i="102"/>
  <c r="B14" i="102"/>
  <c r="E14" i="102" s="1"/>
  <c r="D26" i="102"/>
  <c r="B24" i="102"/>
  <c r="D24" i="102" s="1"/>
  <c r="B5" i="102"/>
  <c r="C5" i="102" s="1"/>
  <c r="B7" i="102"/>
  <c r="A36" i="91"/>
  <c r="A45" i="91"/>
  <c r="E1" i="1"/>
  <c r="G68" i="1" s="1"/>
  <c r="E17" i="1"/>
  <c r="C2" i="91"/>
  <c r="N18" i="35"/>
  <c r="B2" i="91"/>
  <c r="L18" i="35"/>
  <c r="B17" i="91"/>
  <c r="B13" i="91"/>
  <c r="B19" i="91"/>
  <c r="B41" i="91"/>
  <c r="H47" i="108"/>
  <c r="H51" i="108"/>
  <c r="G51" i="108"/>
  <c r="G47" i="108"/>
  <c r="B44" i="91"/>
  <c r="B43" i="91"/>
  <c r="B42" i="91"/>
  <c r="B45" i="91"/>
  <c r="B40" i="91"/>
  <c r="B39" i="91"/>
  <c r="H55" i="108"/>
  <c r="G55" i="108"/>
  <c r="H50" i="108"/>
  <c r="G49" i="108"/>
  <c r="C39" i="108"/>
  <c r="C35" i="108"/>
  <c r="C36" i="108"/>
  <c r="C37" i="108"/>
  <c r="C38" i="108"/>
  <c r="C34" i="108"/>
  <c r="C25" i="108"/>
  <c r="C26" i="108"/>
  <c r="C27" i="108"/>
  <c r="C28" i="108"/>
  <c r="C29" i="108"/>
  <c r="C24" i="108"/>
  <c r="C16" i="108"/>
  <c r="C17" i="108"/>
  <c r="C18" i="108"/>
  <c r="C19" i="108"/>
  <c r="C20" i="108"/>
  <c r="C15" i="108"/>
  <c r="F61" i="108"/>
  <c r="F60" i="108"/>
  <c r="F59" i="108"/>
  <c r="B36" i="108"/>
  <c r="B28" i="108"/>
  <c r="B25" i="108"/>
  <c r="D25" i="108"/>
  <c r="I23" i="108"/>
  <c r="J22" i="108"/>
  <c r="I22" i="108"/>
  <c r="J21" i="108"/>
  <c r="I21" i="108"/>
  <c r="I24" i="108"/>
  <c r="B18" i="108"/>
  <c r="D18" i="108"/>
  <c r="S16" i="108"/>
  <c r="O16" i="108"/>
  <c r="N16" i="108"/>
  <c r="S15" i="108"/>
  <c r="N15" i="108"/>
  <c r="O15" i="108"/>
  <c r="B15" i="108"/>
  <c r="S14" i="108"/>
  <c r="O14" i="108"/>
  <c r="N14" i="108"/>
  <c r="J23" i="108"/>
  <c r="J24" i="108"/>
  <c r="S13" i="108"/>
  <c r="O13" i="108"/>
  <c r="N9" i="108"/>
  <c r="M9" i="108"/>
  <c r="B35" i="108"/>
  <c r="L9" i="108"/>
  <c r="B34" i="108"/>
  <c r="K9" i="108"/>
  <c r="B39" i="108"/>
  <c r="J9" i="108"/>
  <c r="B38" i="108"/>
  <c r="I9" i="108"/>
  <c r="B37" i="108"/>
  <c r="B9" i="108"/>
  <c r="M8" i="108"/>
  <c r="L8" i="108"/>
  <c r="B24" i="108"/>
  <c r="K8" i="108"/>
  <c r="B29" i="108"/>
  <c r="J8" i="108"/>
  <c r="I8" i="108"/>
  <c r="B27" i="108"/>
  <c r="N7" i="108"/>
  <c r="B17" i="108"/>
  <c r="M7" i="108"/>
  <c r="O7" i="108"/>
  <c r="L7" i="108"/>
  <c r="K7" i="108"/>
  <c r="B20" i="108"/>
  <c r="J7" i="108"/>
  <c r="B19" i="108"/>
  <c r="I7" i="108"/>
  <c r="B7" i="108"/>
  <c r="O6" i="108"/>
  <c r="N6" i="108"/>
  <c r="M6" i="108"/>
  <c r="B6" i="108"/>
  <c r="L6" i="108"/>
  <c r="K6" i="108"/>
  <c r="B10" i="108"/>
  <c r="J6" i="108"/>
  <c r="I6" i="108"/>
  <c r="B8" i="108"/>
  <c r="B5" i="108"/>
  <c r="D5" i="108"/>
  <c r="H53" i="108"/>
  <c r="H49" i="108"/>
  <c r="H45" i="108"/>
  <c r="H44" i="108"/>
  <c r="D8" i="108"/>
  <c r="D29" i="108"/>
  <c r="D35" i="108"/>
  <c r="D19" i="108"/>
  <c r="D24" i="108"/>
  <c r="D10" i="108"/>
  <c r="D20" i="108"/>
  <c r="O8" i="108"/>
  <c r="D6" i="108"/>
  <c r="B11" i="108"/>
  <c r="D37" i="108"/>
  <c r="D17" i="108"/>
  <c r="D38" i="108"/>
  <c r="D27" i="108"/>
  <c r="D39" i="108"/>
  <c r="B40" i="108"/>
  <c r="D34" i="108"/>
  <c r="D7" i="108"/>
  <c r="B21" i="108"/>
  <c r="D36" i="108"/>
  <c r="N8" i="108"/>
  <c r="B26" i="108"/>
  <c r="D15" i="108"/>
  <c r="D28" i="108"/>
  <c r="B16" i="108"/>
  <c r="H52" i="108"/>
  <c r="D9" i="108"/>
  <c r="O9" i="108"/>
  <c r="D11" i="108"/>
  <c r="D21" i="108"/>
  <c r="D26" i="108"/>
  <c r="D30" i="108"/>
  <c r="D16" i="108"/>
  <c r="B30" i="108"/>
  <c r="D40" i="108"/>
  <c r="G50" i="108"/>
  <c r="G53" i="108"/>
  <c r="G45" i="108"/>
  <c r="G44" i="108"/>
  <c r="G52" i="108"/>
  <c r="C9" i="90"/>
  <c r="D9" i="90"/>
  <c r="E9" i="90"/>
  <c r="F9" i="90"/>
  <c r="D10" i="90"/>
  <c r="E10" i="90" s="1"/>
  <c r="F10" i="90" s="1"/>
  <c r="C12" i="90"/>
  <c r="D12" i="90" s="1"/>
  <c r="E12" i="90" s="1"/>
  <c r="F12" i="90" s="1"/>
  <c r="D13" i="90"/>
  <c r="E13" i="90" s="1"/>
  <c r="F13" i="90" s="1"/>
  <c r="C14" i="90"/>
  <c r="D14" i="90" s="1"/>
  <c r="E14" i="90" s="1"/>
  <c r="F14" i="90" s="1"/>
  <c r="C10" i="90"/>
  <c r="B9" i="90"/>
  <c r="C5" i="90"/>
  <c r="D5" i="90" s="1"/>
  <c r="E5" i="90" s="1"/>
  <c r="F5" i="90" s="1"/>
  <c r="C6" i="90"/>
  <c r="D6" i="90" s="1"/>
  <c r="E6" i="90" s="1"/>
  <c r="F6" i="90" s="1"/>
  <c r="C7" i="90"/>
  <c r="D7" i="90" s="1"/>
  <c r="E7" i="90" s="1"/>
  <c r="F7" i="90" s="1"/>
  <c r="C3" i="90"/>
  <c r="D3" i="90" s="1"/>
  <c r="E3" i="90" s="1"/>
  <c r="F3" i="90" s="1"/>
  <c r="A5" i="90"/>
  <c r="A12" i="90" s="1"/>
  <c r="A6" i="90"/>
  <c r="A13" i="90" s="1"/>
  <c r="A7" i="90"/>
  <c r="A14" i="90" s="1"/>
  <c r="A3" i="90"/>
  <c r="A10" i="90" s="1"/>
  <c r="I13" i="77"/>
  <c r="I12" i="77"/>
  <c r="I4" i="77"/>
  <c r="I28" i="77"/>
  <c r="I29" i="77"/>
  <c r="I27" i="77"/>
  <c r="I30" i="77"/>
  <c r="I24" i="77"/>
  <c r="I23" i="77"/>
  <c r="I22" i="77"/>
  <c r="I21" i="77"/>
  <c r="I20" i="77"/>
  <c r="I5" i="77"/>
  <c r="I6" i="77"/>
  <c r="I7" i="77"/>
  <c r="I8" i="77"/>
  <c r="I9" i="77"/>
  <c r="I10" i="77"/>
  <c r="I11" i="77"/>
  <c r="I14" i="77"/>
  <c r="I15" i="77"/>
  <c r="I16" i="77"/>
  <c r="I17" i="77"/>
  <c r="I25" i="77"/>
  <c r="I33" i="77"/>
  <c r="I32" i="77"/>
  <c r="I35" i="77"/>
  <c r="D57" i="77"/>
  <c r="D61" i="77"/>
  <c r="E61" i="77"/>
  <c r="D58" i="77"/>
  <c r="D59" i="77"/>
  <c r="D60" i="77"/>
  <c r="B61" i="77"/>
  <c r="A6" i="101"/>
  <c r="A17" i="101" s="1"/>
  <c r="A7" i="101"/>
  <c r="B25" i="91"/>
  <c r="B23" i="91"/>
  <c r="B26" i="91"/>
  <c r="C12" i="100"/>
  <c r="C52" i="100" s="1"/>
  <c r="C73" i="1"/>
  <c r="E15" i="103"/>
  <c r="F15" i="103"/>
  <c r="E14" i="103"/>
  <c r="F14" i="103"/>
  <c r="A8" i="101"/>
  <c r="A9" i="101"/>
  <c r="D1" i="101"/>
  <c r="H32" i="77"/>
  <c r="H25" i="77"/>
  <c r="A54" i="101"/>
  <c r="C64" i="101"/>
  <c r="C63" i="101"/>
  <c r="L8" i="103"/>
  <c r="H8" i="103"/>
  <c r="J8" i="103"/>
  <c r="L7" i="103"/>
  <c r="H7" i="103"/>
  <c r="J7" i="103"/>
  <c r="L6" i="103"/>
  <c r="H6" i="103"/>
  <c r="J6" i="103"/>
  <c r="B52" i="35"/>
  <c r="B53" i="35"/>
  <c r="B54" i="35"/>
  <c r="B50" i="35"/>
  <c r="C55" i="35"/>
  <c r="G71" i="35"/>
  <c r="J9" i="103"/>
  <c r="H30" i="77"/>
  <c r="H33" i="77"/>
  <c r="B11" i="1"/>
  <c r="G85" i="35"/>
  <c r="G78" i="35"/>
  <c r="E32" i="1"/>
  <c r="E33" i="1"/>
  <c r="G68" i="100"/>
  <c r="G74" i="100" s="1"/>
  <c r="G80" i="100" s="1"/>
  <c r="D26" i="101"/>
  <c r="G67" i="100"/>
  <c r="G73" i="100" s="1"/>
  <c r="G79" i="100" s="1"/>
  <c r="G66" i="100"/>
  <c r="G72" i="100" s="1"/>
  <c r="G78" i="100" s="1"/>
  <c r="G65" i="100"/>
  <c r="G71" i="100" s="1"/>
  <c r="G77" i="100" s="1"/>
  <c r="H35" i="77"/>
  <c r="I27" i="101"/>
  <c r="I26" i="101"/>
  <c r="C74" i="1"/>
  <c r="B10" i="1"/>
  <c r="B9" i="1"/>
  <c r="C43" i="1"/>
  <c r="B7" i="1"/>
  <c r="F65" i="1" s="1"/>
  <c r="J78" i="35" l="1"/>
  <c r="E5" i="102"/>
  <c r="E7" i="102"/>
  <c r="D7" i="102"/>
  <c r="F24" i="102"/>
  <c r="F7" i="102"/>
  <c r="H81" i="35"/>
  <c r="F5" i="102"/>
  <c r="C7" i="102"/>
  <c r="E24" i="102"/>
  <c r="C9" i="35"/>
  <c r="D50" i="35" s="1"/>
  <c r="F66" i="1" s="1"/>
  <c r="G9" i="1"/>
  <c r="H55" i="1"/>
  <c r="I65" i="1"/>
  <c r="H57" i="1"/>
  <c r="H65" i="1"/>
  <c r="H56" i="1"/>
  <c r="E65" i="1"/>
  <c r="F26" i="102"/>
  <c r="E26" i="102"/>
  <c r="C26" i="102"/>
  <c r="C24" i="102"/>
  <c r="D16" i="102"/>
  <c r="C14" i="102"/>
  <c r="D14" i="102"/>
  <c r="F14" i="102"/>
  <c r="D5" i="102"/>
  <c r="G67" i="1"/>
  <c r="G57" i="101"/>
  <c r="I56" i="101"/>
  <c r="H56" i="101"/>
  <c r="G56" i="101"/>
  <c r="F56" i="101"/>
  <c r="A67" i="1"/>
  <c r="D51" i="100"/>
  <c r="F12" i="100"/>
  <c r="D39" i="100"/>
  <c r="C39" i="100" s="1"/>
  <c r="D38" i="100"/>
  <c r="D37" i="100"/>
  <c r="C37" i="100" s="1"/>
  <c r="C78" i="100"/>
  <c r="D42" i="100"/>
  <c r="J27" i="101"/>
  <c r="C77" i="100"/>
  <c r="R18" i="100"/>
  <c r="S18" i="100" s="1"/>
  <c r="A10" i="101"/>
  <c r="D12" i="100"/>
  <c r="F57" i="101"/>
  <c r="A11" i="101"/>
  <c r="C81" i="35"/>
  <c r="D44" i="35"/>
  <c r="C44" i="35" s="1"/>
  <c r="C55" i="1" s="1"/>
  <c r="D3" i="91"/>
  <c r="P20" i="35" s="1"/>
  <c r="Q20" i="35" s="1"/>
  <c r="B9" i="91"/>
  <c r="L18" i="100" s="1"/>
  <c r="M18" i="100" s="1"/>
  <c r="D9" i="91"/>
  <c r="P26" i="35" s="1"/>
  <c r="Q26" i="35" s="1"/>
  <c r="B3" i="91"/>
  <c r="L20" i="35" s="1"/>
  <c r="M20" i="35" s="1"/>
  <c r="B6" i="91"/>
  <c r="L23" i="35" s="1"/>
  <c r="M23" i="35" s="1"/>
  <c r="F68" i="1"/>
  <c r="D8" i="91"/>
  <c r="P25" i="35" s="1"/>
  <c r="Q25" i="35" s="1"/>
  <c r="G65" i="1"/>
  <c r="A9" i="1"/>
  <c r="E9" i="1" s="1"/>
  <c r="G10" i="1"/>
  <c r="H53" i="1"/>
  <c r="C11" i="35"/>
  <c r="G7" i="1"/>
  <c r="C10" i="1"/>
  <c r="A10" i="1" s="1"/>
  <c r="E10" i="1" s="1"/>
  <c r="G11" i="1"/>
  <c r="C5" i="91"/>
  <c r="H68" i="1"/>
  <c r="D4" i="91"/>
  <c r="C13" i="35"/>
  <c r="D54" i="35" s="1"/>
  <c r="C7" i="1"/>
  <c r="A7" i="1" s="1"/>
  <c r="R25" i="35"/>
  <c r="S25" i="35" s="1"/>
  <c r="A11" i="1"/>
  <c r="T11" i="1" s="1"/>
  <c r="D7" i="91"/>
  <c r="B5" i="91"/>
  <c r="L22" i="35" s="1"/>
  <c r="M22" i="35" s="1"/>
  <c r="C8" i="91"/>
  <c r="D5" i="91"/>
  <c r="C7" i="91"/>
  <c r="D6" i="91"/>
  <c r="P23" i="35" s="1"/>
  <c r="Q23" i="35" s="1"/>
  <c r="B8" i="91"/>
  <c r="L25" i="35" s="1"/>
  <c r="M25" i="35" s="1"/>
  <c r="B4" i="91"/>
  <c r="A12" i="101"/>
  <c r="A25" i="1"/>
  <c r="F12" i="1"/>
  <c r="A23" i="1" s="1"/>
  <c r="B50" i="77"/>
  <c r="L24" i="35"/>
  <c r="M24" i="35" s="1"/>
  <c r="J81" i="35" l="1"/>
  <c r="D52" i="35"/>
  <c r="G66" i="1" s="1"/>
  <c r="I66" i="1"/>
  <c r="J67" i="1"/>
  <c r="A12" i="1"/>
  <c r="A18" i="1" s="1"/>
  <c r="E7" i="1"/>
  <c r="A27" i="1" s="1"/>
  <c r="T12" i="1"/>
  <c r="L74" i="100"/>
  <c r="I74" i="100" s="1"/>
  <c r="H74" i="100" s="1"/>
  <c r="J74" i="100" s="1"/>
  <c r="L73" i="100"/>
  <c r="I73" i="100" s="1"/>
  <c r="H73" i="100" s="1"/>
  <c r="J73" i="100" s="1"/>
  <c r="L72" i="100"/>
  <c r="I72" i="100" s="1"/>
  <c r="H72" i="100" s="1"/>
  <c r="J72" i="100" s="1"/>
  <c r="L71" i="100"/>
  <c r="I71" i="100" s="1"/>
  <c r="H71" i="100" s="1"/>
  <c r="J71" i="100" s="1"/>
  <c r="N24" i="35"/>
  <c r="O24" i="35" s="1"/>
  <c r="D16" i="101"/>
  <c r="D17" i="101" s="1"/>
  <c r="E24" i="1"/>
  <c r="N22" i="35"/>
  <c r="O22" i="35" s="1"/>
  <c r="E20" i="1"/>
  <c r="E67" i="1"/>
  <c r="D67" i="1" s="1"/>
  <c r="C92" i="35" s="1"/>
  <c r="D38" i="101"/>
  <c r="C75" i="100" s="1"/>
  <c r="E56" i="101"/>
  <c r="D56" i="101" s="1"/>
  <c r="C89" i="100" s="1"/>
  <c r="D55" i="101"/>
  <c r="C88" i="100" s="1"/>
  <c r="C38" i="100"/>
  <c r="A55" i="101"/>
  <c r="C42" i="100"/>
  <c r="A56" i="101" s="1"/>
  <c r="E56" i="1"/>
  <c r="A16" i="101"/>
  <c r="A18" i="101" s="1"/>
  <c r="D39" i="101"/>
  <c r="C73" i="100" s="1"/>
  <c r="D40" i="101"/>
  <c r="C74" i="100" s="1"/>
  <c r="D57" i="101"/>
  <c r="C90" i="100" s="1"/>
  <c r="L26" i="35"/>
  <c r="M26" i="35" s="1"/>
  <c r="G21" i="91"/>
  <c r="B21" i="91" s="1"/>
  <c r="B22" i="91" s="1"/>
  <c r="C22" i="91" s="1"/>
  <c r="E11" i="1"/>
  <c r="A26" i="1" s="1"/>
  <c r="G25" i="91"/>
  <c r="B34" i="91" s="1"/>
  <c r="G24" i="91"/>
  <c r="B24" i="91" s="1"/>
  <c r="P18" i="100"/>
  <c r="Q18" i="100" s="1"/>
  <c r="G3" i="91"/>
  <c r="G4" i="91" s="1"/>
  <c r="E3" i="91" s="1"/>
  <c r="R20" i="35" s="1"/>
  <c r="S20" i="35" s="1"/>
  <c r="L19" i="100"/>
  <c r="M19" i="100" s="1"/>
  <c r="P19" i="100"/>
  <c r="Q19" i="100" s="1"/>
  <c r="G23" i="91"/>
  <c r="C14" i="35"/>
  <c r="N19" i="100"/>
  <c r="O19" i="100" s="1"/>
  <c r="N25" i="35"/>
  <c r="O25" i="35" s="1"/>
  <c r="P22" i="35"/>
  <c r="Q22" i="35" s="1"/>
  <c r="G5" i="91"/>
  <c r="G6" i="91" s="1"/>
  <c r="E4" i="91" s="1"/>
  <c r="R21" i="35" s="1"/>
  <c r="S21" i="35" s="1"/>
  <c r="L21" i="35"/>
  <c r="M21" i="35" s="1"/>
  <c r="P21" i="35"/>
  <c r="Q21" i="35" s="1"/>
  <c r="P24" i="35"/>
  <c r="Q24" i="35" s="1"/>
  <c r="D66" i="1" l="1"/>
  <c r="C91" i="35" s="1"/>
  <c r="D45" i="35"/>
  <c r="C45" i="35" s="1"/>
  <c r="C56" i="1" s="1"/>
  <c r="U8" i="1"/>
  <c r="D55" i="35"/>
  <c r="A66" i="1" s="1"/>
  <c r="A62" i="1" s="1"/>
  <c r="C56" i="35"/>
  <c r="D65" i="1" s="1"/>
  <c r="C90" i="35" s="1"/>
  <c r="A52" i="101"/>
  <c r="U7" i="1"/>
  <c r="C82" i="35"/>
  <c r="U9" i="1"/>
  <c r="U10" i="1"/>
  <c r="U11" i="1"/>
  <c r="B27" i="91"/>
  <c r="C27" i="91" s="1"/>
  <c r="C24" i="91"/>
  <c r="D24" i="91" s="1"/>
  <c r="D27" i="91" s="1"/>
  <c r="C21" i="91"/>
  <c r="D21" i="91" s="1"/>
  <c r="E21" i="91" s="1"/>
  <c r="F21" i="91" s="1"/>
  <c r="B30" i="91"/>
  <c r="B31" i="91" s="1"/>
  <c r="A19" i="101"/>
  <c r="C31" i="101" s="1"/>
  <c r="E12" i="1"/>
  <c r="B35" i="91"/>
  <c r="B32" i="91"/>
  <c r="F1" i="1"/>
  <c r="D68" i="1" s="1"/>
  <c r="C93" i="35" s="1"/>
  <c r="C16" i="101"/>
  <c r="B2" i="77"/>
  <c r="B6" i="77" s="1"/>
  <c r="A20" i="1"/>
  <c r="D20" i="1" s="1"/>
  <c r="A19" i="1"/>
  <c r="D18" i="101"/>
  <c r="E18" i="101" s="1"/>
  <c r="C17" i="101"/>
  <c r="E27" i="1"/>
  <c r="E26" i="1"/>
  <c r="D26" i="1" s="1"/>
  <c r="D22" i="91"/>
  <c r="E22" i="91" s="1"/>
  <c r="F22" i="91" s="1"/>
  <c r="C4" i="91"/>
  <c r="B32" i="77" l="1"/>
  <c r="D32" i="77" s="1"/>
  <c r="A24" i="1"/>
  <c r="A17" i="1" s="1"/>
  <c r="D45" i="1" s="1"/>
  <c r="U12" i="1"/>
  <c r="N21" i="35"/>
  <c r="O21" i="35" s="1"/>
  <c r="E19" i="1"/>
  <c r="D19" i="1" s="1"/>
  <c r="D6" i="77"/>
  <c r="C66" i="100"/>
  <c r="C3" i="91"/>
  <c r="D70" i="1"/>
  <c r="D73" i="1" s="1"/>
  <c r="C95" i="35"/>
  <c r="B21" i="77"/>
  <c r="B23" i="77"/>
  <c r="D23" i="77" s="1"/>
  <c r="B16" i="77"/>
  <c r="B17" i="77"/>
  <c r="D17" i="77" s="1"/>
  <c r="B18" i="77"/>
  <c r="D18" i="77" s="1"/>
  <c r="B26" i="77"/>
  <c r="D26" i="77" s="1"/>
  <c r="B22" i="77"/>
  <c r="D22" i="77" s="1"/>
  <c r="B25" i="77"/>
  <c r="D25" i="77" s="1"/>
  <c r="B24" i="77"/>
  <c r="D24" i="77" s="1"/>
  <c r="B8" i="77"/>
  <c r="B39" i="77" s="1"/>
  <c r="D27" i="1"/>
  <c r="G27" i="1"/>
  <c r="E54" i="1" s="1"/>
  <c r="I27" i="1"/>
  <c r="E28" i="1"/>
  <c r="D28" i="1" s="1"/>
  <c r="D41" i="101"/>
  <c r="D40" i="100" s="1"/>
  <c r="C40" i="100" s="1"/>
  <c r="F18" i="101"/>
  <c r="C18" i="101"/>
  <c r="E24" i="91"/>
  <c r="M8" i="1" l="1"/>
  <c r="A29" i="1"/>
  <c r="D32" i="1"/>
  <c r="D43" i="35"/>
  <c r="C43" i="35" s="1"/>
  <c r="C54" i="1" s="1"/>
  <c r="S8" i="1"/>
  <c r="N20" i="35"/>
  <c r="O20" i="35" s="1"/>
  <c r="E18" i="1"/>
  <c r="D18" i="1" s="1"/>
  <c r="D21" i="1" s="1"/>
  <c r="K9" i="1" s="1"/>
  <c r="D16" i="77"/>
  <c r="D40" i="77" s="1"/>
  <c r="E52" i="1" s="1"/>
  <c r="Q8" i="1" s="1"/>
  <c r="B40" i="77" a="1"/>
  <c r="B40" i="77" s="1"/>
  <c r="C40" i="77" s="1"/>
  <c r="D21" i="77"/>
  <c r="D41" i="77" s="1"/>
  <c r="E51" i="1" s="1"/>
  <c r="P8" i="1" s="1"/>
  <c r="B41" i="77"/>
  <c r="C41" i="77" s="1"/>
  <c r="D24" i="1"/>
  <c r="C70" i="35"/>
  <c r="E34" i="1"/>
  <c r="D34" i="1" s="1"/>
  <c r="D74" i="1"/>
  <c r="E74" i="1" s="1"/>
  <c r="C96" i="35" s="1"/>
  <c r="C97" i="35" s="1"/>
  <c r="C69" i="35"/>
  <c r="C35" i="77"/>
  <c r="D8" i="77"/>
  <c r="B35" i="77"/>
  <c r="B37" i="77" s="1"/>
  <c r="C39" i="77"/>
  <c r="C76" i="100"/>
  <c r="C80" i="100" s="1"/>
  <c r="D44" i="101"/>
  <c r="D46" i="101" s="1"/>
  <c r="D33" i="1"/>
  <c r="C30" i="101"/>
  <c r="C29" i="101"/>
  <c r="S7" i="1"/>
  <c r="S10" i="1"/>
  <c r="S11" i="1"/>
  <c r="C80" i="35"/>
  <c r="S9" i="1"/>
  <c r="M9" i="1"/>
  <c r="M11" i="1"/>
  <c r="M7" i="1"/>
  <c r="M10" i="1"/>
  <c r="F24" i="91"/>
  <c r="E27" i="91"/>
  <c r="K7" i="1" l="1"/>
  <c r="K8" i="1"/>
  <c r="M12" i="1"/>
  <c r="S12" i="1"/>
  <c r="K10" i="1"/>
  <c r="K11" i="1"/>
  <c r="F27" i="91"/>
  <c r="C9" i="91" s="1"/>
  <c r="D15" i="101" s="1"/>
  <c r="C15" i="101" s="1"/>
  <c r="C19" i="101" s="1"/>
  <c r="C6" i="91"/>
  <c r="D75" i="1"/>
  <c r="D76" i="1" s="1"/>
  <c r="B36" i="77"/>
  <c r="P7" i="1"/>
  <c r="D40" i="35"/>
  <c r="Q10" i="1"/>
  <c r="D41" i="35"/>
  <c r="C41" i="35" s="1"/>
  <c r="C52" i="1" s="1"/>
  <c r="P11" i="1"/>
  <c r="Q9" i="1"/>
  <c r="P10" i="1"/>
  <c r="Q7" i="1"/>
  <c r="C78" i="35"/>
  <c r="Q11" i="1"/>
  <c r="C77" i="35"/>
  <c r="P9" i="1"/>
  <c r="C36" i="77"/>
  <c r="D39" i="77"/>
  <c r="E53" i="1" s="1"/>
  <c r="D35" i="77"/>
  <c r="D35" i="1"/>
  <c r="O8" i="1" s="1"/>
  <c r="C32" i="101"/>
  <c r="Q12" i="1" l="1"/>
  <c r="D42" i="35"/>
  <c r="R8" i="1"/>
  <c r="P12" i="1"/>
  <c r="K12" i="1"/>
  <c r="N23" i="35"/>
  <c r="O23" i="35" s="1"/>
  <c r="E23" i="1"/>
  <c r="I8" i="101"/>
  <c r="C25" i="101"/>
  <c r="I9" i="101"/>
  <c r="C23" i="101"/>
  <c r="C22" i="101"/>
  <c r="C69" i="100"/>
  <c r="I6" i="101"/>
  <c r="C24" i="101"/>
  <c r="I7" i="101"/>
  <c r="N26" i="35"/>
  <c r="O26" i="35" s="1"/>
  <c r="N18" i="100"/>
  <c r="O18" i="100" s="1"/>
  <c r="C40" i="35"/>
  <c r="C51" i="1" s="1"/>
  <c r="R7" i="1"/>
  <c r="R11" i="1"/>
  <c r="R9" i="1"/>
  <c r="C79" i="35"/>
  <c r="C83" i="35" s="1"/>
  <c r="R10" i="1"/>
  <c r="D57" i="1"/>
  <c r="D58" i="1" s="1"/>
  <c r="D37" i="77"/>
  <c r="D36" i="77"/>
  <c r="K8" i="101"/>
  <c r="K7" i="101"/>
  <c r="K9" i="101"/>
  <c r="K6" i="101"/>
  <c r="O11" i="1"/>
  <c r="O7" i="1"/>
  <c r="O10" i="1"/>
  <c r="O9" i="1"/>
  <c r="O12" i="1" l="1"/>
  <c r="R12" i="1"/>
  <c r="C26" i="101"/>
  <c r="J8" i="101" s="1"/>
  <c r="E25" i="1"/>
  <c r="D25" i="1" s="1"/>
  <c r="D23" i="1"/>
  <c r="I10" i="101"/>
  <c r="C42" i="35"/>
  <c r="C53" i="1" s="1"/>
  <c r="K10" i="101"/>
  <c r="C70" i="100" l="1"/>
  <c r="C71" i="100" s="1"/>
  <c r="C34" i="101"/>
  <c r="D47" i="101" s="1"/>
  <c r="D48" i="101" s="1"/>
  <c r="F9" i="101" s="1"/>
  <c r="L8" i="1"/>
  <c r="L7" i="1"/>
  <c r="L11" i="1"/>
  <c r="J7" i="101"/>
  <c r="J6" i="101"/>
  <c r="J9" i="101"/>
  <c r="L9" i="1"/>
  <c r="L10" i="1"/>
  <c r="D29" i="1"/>
  <c r="D30" i="1" s="1"/>
  <c r="F8" i="101" l="1"/>
  <c r="L8" i="101"/>
  <c r="H8" i="101" s="1"/>
  <c r="L7" i="101"/>
  <c r="L6" i="101"/>
  <c r="F6" i="101"/>
  <c r="F7" i="101"/>
  <c r="F11" i="101"/>
  <c r="D50" i="101"/>
  <c r="L9" i="101"/>
  <c r="C82" i="100"/>
  <c r="C84" i="100" s="1"/>
  <c r="D82" i="100" s="1"/>
  <c r="L12" i="1"/>
  <c r="J10" i="101"/>
  <c r="H7" i="101"/>
  <c r="D46" i="1"/>
  <c r="D47" i="1" s="1"/>
  <c r="D37" i="1"/>
  <c r="H6" i="101"/>
  <c r="L10" i="101" l="1"/>
  <c r="H9" i="101"/>
  <c r="M9" i="101" s="1"/>
  <c r="G9" i="101" s="1"/>
  <c r="C9" i="101" s="1"/>
  <c r="D77" i="100"/>
  <c r="D74" i="100"/>
  <c r="D78" i="100"/>
  <c r="D79" i="100"/>
  <c r="D80" i="100"/>
  <c r="D75" i="100"/>
  <c r="D69" i="100"/>
  <c r="D73" i="100"/>
  <c r="D71" i="100"/>
  <c r="D70" i="100"/>
  <c r="D76" i="100"/>
  <c r="H10" i="101"/>
  <c r="D42" i="1"/>
  <c r="C73" i="35"/>
  <c r="D41" i="1"/>
  <c r="D40" i="1"/>
  <c r="D39" i="1"/>
  <c r="N11" i="101"/>
  <c r="N12" i="101" s="1"/>
  <c r="M8" i="101" s="1"/>
  <c r="G8" i="101" s="1"/>
  <c r="C8" i="101" s="1"/>
  <c r="E9" i="101"/>
  <c r="D9" i="101"/>
  <c r="H68" i="100"/>
  <c r="D43" i="1" l="1"/>
  <c r="N11" i="1" s="1"/>
  <c r="M6" i="101"/>
  <c r="G6" i="101" s="1"/>
  <c r="C6" i="101" s="1"/>
  <c r="M7" i="101"/>
  <c r="G7" i="101" s="1"/>
  <c r="C7" i="101" s="1"/>
  <c r="H66" i="100" s="1"/>
  <c r="H80" i="100"/>
  <c r="I68" i="100"/>
  <c r="I80" i="100" s="1"/>
  <c r="J68" i="100"/>
  <c r="J80" i="100" s="1"/>
  <c r="E8" i="101"/>
  <c r="H67" i="100"/>
  <c r="D8" i="101"/>
  <c r="C74" i="35" l="1"/>
  <c r="C75" i="35" s="1"/>
  <c r="N8" i="1"/>
  <c r="N7" i="1"/>
  <c r="N10" i="1"/>
  <c r="N9" i="1"/>
  <c r="D48" i="1"/>
  <c r="D7" i="101"/>
  <c r="E7" i="101"/>
  <c r="M10" i="101"/>
  <c r="I66" i="100"/>
  <c r="I78" i="100" s="1"/>
  <c r="H78" i="100"/>
  <c r="J66" i="100"/>
  <c r="J78" i="100" s="1"/>
  <c r="H65" i="100"/>
  <c r="D6" i="101"/>
  <c r="E6" i="101"/>
  <c r="H79" i="100"/>
  <c r="J67" i="100"/>
  <c r="J79" i="100" s="1"/>
  <c r="I67" i="100"/>
  <c r="I79" i="100" s="1"/>
  <c r="N12" i="1" l="1"/>
  <c r="D59" i="1"/>
  <c r="D60" i="1" s="1"/>
  <c r="F21" i="1" s="1"/>
  <c r="G48" i="1"/>
  <c r="E43" i="1"/>
  <c r="D10" i="101"/>
  <c r="F12" i="101" s="1"/>
  <c r="E10" i="101" s="1"/>
  <c r="H77" i="100"/>
  <c r="I65" i="100"/>
  <c r="I77" i="100" s="1"/>
  <c r="J65" i="100"/>
  <c r="J77" i="100" s="1"/>
  <c r="D77" i="1" l="1"/>
  <c r="E77" i="1" s="1"/>
  <c r="G59" i="1"/>
  <c r="E48" i="1"/>
  <c r="F43" i="1"/>
  <c r="E57" i="1"/>
  <c r="E58" i="1"/>
  <c r="V8" i="1"/>
  <c r="W8" i="1" s="1"/>
  <c r="X8" i="1" s="1"/>
  <c r="V7" i="1"/>
  <c r="W7" i="1" s="1"/>
  <c r="X7" i="1" s="1"/>
  <c r="V11" i="1"/>
  <c r="V10" i="1"/>
  <c r="W10" i="1" s="1"/>
  <c r="X10" i="1" s="1"/>
  <c r="C85" i="35"/>
  <c r="V9" i="1"/>
  <c r="W9" i="1" s="1"/>
  <c r="X9" i="1" s="1"/>
  <c r="F10" i="101"/>
  <c r="Z11" i="1" l="1"/>
  <c r="AA11" i="1" s="1"/>
  <c r="H11" i="1" s="1"/>
  <c r="W11" i="1"/>
  <c r="X11" i="1" s="1"/>
  <c r="X12" i="1" s="1"/>
  <c r="C87" i="35"/>
  <c r="D85" i="35" s="1"/>
  <c r="V12" i="1"/>
  <c r="I57" i="1" l="1"/>
  <c r="H75" i="35"/>
  <c r="H89" i="35" s="1"/>
  <c r="Y11" i="1"/>
  <c r="Y8" i="1" s="1"/>
  <c r="Z8" i="1" s="1"/>
  <c r="AA8" i="1" s="1"/>
  <c r="H8" i="1" s="1"/>
  <c r="H72" i="35" s="1"/>
  <c r="H86" i="35" s="1"/>
  <c r="I11" i="1"/>
  <c r="W12" i="1"/>
  <c r="D75" i="35"/>
  <c r="D77" i="35"/>
  <c r="D74" i="35"/>
  <c r="D81" i="35"/>
  <c r="C98" i="35"/>
  <c r="C99" i="35" s="1"/>
  <c r="D78" i="35"/>
  <c r="D73" i="35"/>
  <c r="D83" i="35"/>
  <c r="D82" i="35"/>
  <c r="D80" i="35"/>
  <c r="D79" i="35"/>
  <c r="C87" i="100"/>
  <c r="C92" i="100" s="1"/>
  <c r="D60" i="101"/>
  <c r="D64" i="101" s="1"/>
  <c r="Y10" i="1" l="1"/>
  <c r="Z10" i="1" s="1"/>
  <c r="AA10" i="1" s="1"/>
  <c r="H10" i="1" s="1"/>
  <c r="Y7" i="1"/>
  <c r="Z7" i="1" s="1"/>
  <c r="AA7" i="1" s="1"/>
  <c r="H7" i="1" s="1"/>
  <c r="Y9" i="1"/>
  <c r="Z9" i="1" s="1"/>
  <c r="AA9" i="1" s="1"/>
  <c r="H9" i="1" s="1"/>
  <c r="I55" i="1" s="1"/>
  <c r="I72" i="35"/>
  <c r="I86" i="35" s="1"/>
  <c r="J72" i="35"/>
  <c r="I75" i="35"/>
  <c r="I89" i="35" s="1"/>
  <c r="J75" i="35"/>
  <c r="J89" i="35" s="1"/>
  <c r="I56" i="1"/>
  <c r="H74" i="35"/>
  <c r="H88" i="35" s="1"/>
  <c r="I8" i="1"/>
  <c r="I54" i="1"/>
  <c r="I10" i="1"/>
  <c r="I53" i="1"/>
  <c r="H71" i="35"/>
  <c r="I7" i="1"/>
  <c r="D63" i="101"/>
  <c r="I9" i="1" l="1"/>
  <c r="Z12" i="1"/>
  <c r="H73" i="35"/>
  <c r="H87" i="35" s="1"/>
  <c r="I58" i="1"/>
  <c r="I59" i="1" s="1"/>
  <c r="I73" i="35"/>
  <c r="I87" i="35" s="1"/>
  <c r="J73" i="35"/>
  <c r="J87" i="35" s="1"/>
  <c r="J74" i="35"/>
  <c r="J88" i="35" s="1"/>
  <c r="I74" i="35"/>
  <c r="I88" i="35" s="1"/>
  <c r="H85" i="35"/>
  <c r="I71" i="35"/>
  <c r="I85" i="35" s="1"/>
  <c r="J71" i="35"/>
  <c r="J85" i="35" s="1"/>
  <c r="C93" i="100"/>
  <c r="D65" i="101"/>
  <c r="D67" i="101" s="1"/>
  <c r="C94" i="100" l="1"/>
  <c r="E67" i="101"/>
  <c r="C95" i="100" s="1"/>
  <c r="J86" i="3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Anne Mitchell</author>
  </authors>
  <commentList>
    <comment ref="B52" authorId="0" shapeId="0" xr:uid="{00000000-0006-0000-0100-000009000000}">
      <text>
        <r>
          <rPr>
            <sz val="9"/>
            <color rgb="FF000000"/>
            <rFont val="Tahoma"/>
            <family val="2"/>
          </rPr>
          <t>Occupancy (e.g., rent/mortgage, real estate taxes, other occupancy, maintenance, janitorial)</t>
        </r>
      </text>
    </comment>
    <comment ref="B53" authorId="0" shapeId="0" xr:uid="{00000000-0006-0000-0100-00000A000000}">
      <text>
        <r>
          <rPr>
            <sz val="9"/>
            <color rgb="FF000000"/>
            <rFont val="Tahoma"/>
            <family val="2"/>
          </rPr>
          <t>Program Management (e.g., office supplies, telelphone, internet, insurance, legal and professional fees, permits, fundraising, memberships, administration fees)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Simon Workman</author>
  </authors>
  <commentList>
    <comment ref="D2" authorId="0" shapeId="0" xr:uid="{CE498FC8-CFE1-1C4B-8C0B-B9BD77B0D128}">
      <text>
        <r>
          <rPr>
            <b/>
            <sz val="10"/>
            <color rgb="FF000000"/>
            <rFont val="Tahoma"/>
            <family val="2"/>
          </rPr>
          <t>Simon Workman: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CPI calculator Jan 2022-July 2023 (most recent)
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I2" authorId="0" shapeId="0" xr:uid="{18CBF34C-74BF-D64E-AF54-3AFEE845293C}">
      <text>
        <r>
          <rPr>
            <b/>
            <sz val="10"/>
            <color rgb="FF000000"/>
            <rFont val="Tahoma"/>
            <family val="2"/>
          </rPr>
          <t>Simon Workman: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CPI calculator Jan 2020-Mar 2022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D45" authorId="0" shapeId="0" xr:uid="{7E3380BB-0E85-B34D-979D-67F425BBE92F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used 80% of director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<sst xmlns="http://schemas.openxmlformats.org/spreadsheetml/2006/main" count="863" uniqueCount="502">
  <si>
    <t>Montana Child Care Cost Model 2024</t>
  </si>
  <si>
    <t>Licensing</t>
  </si>
  <si>
    <t>Star 1</t>
  </si>
  <si>
    <t>Star 2</t>
  </si>
  <si>
    <t>Star 3</t>
  </si>
  <si>
    <t>Star 4</t>
  </si>
  <si>
    <t>Star 5</t>
  </si>
  <si>
    <t>CHILD CARE CENTER</t>
  </si>
  <si>
    <t>Star Level</t>
  </si>
  <si>
    <r>
      <t xml:space="preserve">Items in YELLOW shaded cells are for INPUT to model different center 'profiles'.   </t>
    </r>
    <r>
      <rPr>
        <b/>
        <sz val="11"/>
        <color rgb="FFFF0000"/>
        <rFont val="Arial"/>
        <family val="2"/>
      </rPr>
      <t>PLEASE DO NOT CHANGE ANY OTHER CELLS ON THIS SHEET</t>
    </r>
  </si>
  <si>
    <t>Region</t>
  </si>
  <si>
    <t>Statewide</t>
  </si>
  <si>
    <t>SIZE of CENTER</t>
  </si>
  <si>
    <t>Age Groups</t>
  </si>
  <si>
    <t># Children/Age</t>
  </si>
  <si>
    <t>Ratios</t>
  </si>
  <si>
    <t>Group size</t>
  </si>
  <si>
    <t># of Classrooms</t>
  </si>
  <si>
    <t>User Input RATIO</t>
  </si>
  <si>
    <t>User Input GROUP SIZE</t>
  </si>
  <si>
    <t>2-3 years</t>
  </si>
  <si>
    <t>3-5 year-olds</t>
  </si>
  <si>
    <t>School age</t>
  </si>
  <si>
    <t>TOTAL Children</t>
  </si>
  <si>
    <t>TOTAL Classrooms</t>
  </si>
  <si>
    <t>`</t>
  </si>
  <si>
    <t>SALARY DETAIL</t>
  </si>
  <si>
    <t>SALARIES</t>
  </si>
  <si>
    <t>WorkforceSurvey</t>
  </si>
  <si>
    <t>BLS</t>
  </si>
  <si>
    <t>KinderParity</t>
  </si>
  <si>
    <t xml:space="preserve">Based on Level: </t>
  </si>
  <si>
    <t>Select salary level to use in model</t>
  </si>
  <si>
    <t>Salary level</t>
  </si>
  <si>
    <t>Living Wage</t>
  </si>
  <si>
    <t>(enter hourly wage)</t>
  </si>
  <si>
    <t>For user added salaries enter hourly salary here ------&gt;</t>
  </si>
  <si>
    <t>Lead Teacher</t>
  </si>
  <si>
    <t>Assistant Teacher</t>
  </si>
  <si>
    <t>Floater</t>
  </si>
  <si>
    <t xml:space="preserve">Position: </t>
  </si>
  <si>
    <t>Annual</t>
  </si>
  <si>
    <t>Hourly</t>
  </si>
  <si>
    <t>Director</t>
  </si>
  <si>
    <t>Assistant Director</t>
  </si>
  <si>
    <t>BENEFITS</t>
  </si>
  <si>
    <t>Administrative Assistant</t>
  </si>
  <si>
    <t>Discretionary (health, etc)</t>
  </si>
  <si>
    <t>Yes, $7,500</t>
  </si>
  <si>
    <t>Select amount per employee of discretionary benefits</t>
  </si>
  <si>
    <t>Retirement %</t>
  </si>
  <si>
    <t>enter percentage of salary paid in benefits</t>
  </si>
  <si>
    <t>Sick Days</t>
  </si>
  <si>
    <t>enter annual number of days per staff member</t>
  </si>
  <si>
    <t>Floater/Assistants</t>
  </si>
  <si>
    <t>Paid Leave</t>
  </si>
  <si>
    <t>enter annual number of days per staff member, not including holidays where program is closed</t>
  </si>
  <si>
    <t>FCC Provider/Owner</t>
  </si>
  <si>
    <t>Hourly based on 2080 hours per year</t>
  </si>
  <si>
    <t>PROGRAM ENHANCEMENTS</t>
  </si>
  <si>
    <t>Family Engagement Conferences</t>
  </si>
  <si>
    <t># of conferences/year</t>
  </si>
  <si>
    <t>Yes, $5,000</t>
  </si>
  <si>
    <t>Yes, $6,602</t>
  </si>
  <si>
    <t>Yes, $10,000</t>
  </si>
  <si>
    <t>No</t>
  </si>
  <si>
    <t>Transportation</t>
  </si>
  <si>
    <t># children transported</t>
  </si>
  <si>
    <t>Annual cost per child</t>
  </si>
  <si>
    <t>Additional Sanitation</t>
  </si>
  <si>
    <t xml:space="preserve"> - Deep cleaning</t>
  </si>
  <si>
    <t># of cleanings per month</t>
  </si>
  <si>
    <t>Cost per cleaning</t>
  </si>
  <si>
    <t xml:space="preserve"> - Sanitation supplies</t>
  </si>
  <si>
    <t>Cost per classroom/monthly</t>
  </si>
  <si>
    <t>Contribution to Operating Reserve</t>
  </si>
  <si>
    <t>Annual % of total revenue</t>
  </si>
  <si>
    <t>NONPERSONNEL</t>
  </si>
  <si>
    <t>Default Value</t>
  </si>
  <si>
    <t>User Entered</t>
  </si>
  <si>
    <t>select whether to use default nonpersonnel values, or override with user entered data.  If user entered, override data in cells below</t>
  </si>
  <si>
    <t>Expense category</t>
  </si>
  <si>
    <t>Annual total</t>
  </si>
  <si>
    <t>Default Data</t>
  </si>
  <si>
    <t>User entered value</t>
  </si>
  <si>
    <t>Education Program</t>
  </si>
  <si>
    <t>Food, classroom supplies, medical supplies, educational supplies, advertising, postage</t>
  </si>
  <si>
    <t>Occupancy</t>
  </si>
  <si>
    <t>Rent/lease, utilities, building insurance, maintenance/repair/cleaning</t>
  </si>
  <si>
    <t>Program Mgmt/Administration</t>
  </si>
  <si>
    <t>Office supplies, insurance, audit/legal fees, telephone/internet</t>
  </si>
  <si>
    <t>Family Conferences</t>
  </si>
  <si>
    <t>School age transportation</t>
  </si>
  <si>
    <t>Additional Cleaning</t>
  </si>
  <si>
    <t>REVENUE</t>
  </si>
  <si>
    <r>
      <t xml:space="preserve">Enter </t>
    </r>
    <r>
      <rPr>
        <b/>
        <sz val="10"/>
        <rFont val="Arial"/>
        <family val="2"/>
      </rPr>
      <t># of children</t>
    </r>
    <r>
      <rPr>
        <sz val="10"/>
        <rFont val="Arial"/>
        <family val="2"/>
      </rPr>
      <t xml:space="preserve"> by age receiving each type of subsidy using YELLOW cells only in the table below.  Private Tuition tab must not be a negative</t>
    </r>
  </si>
  <si>
    <t>State child care subsidy</t>
  </si>
  <si>
    <t>Private Tuition</t>
  </si>
  <si>
    <t>Monthly Tuition Rates</t>
  </si>
  <si>
    <t>Enter your monthly tuition rates, by age of child, here -----&gt;</t>
  </si>
  <si>
    <t>Total =</t>
  </si>
  <si>
    <t>Percent subsidy =</t>
  </si>
  <si>
    <t>Apply high-growth county subsidy differntial?</t>
  </si>
  <si>
    <t>Yes</t>
  </si>
  <si>
    <t>(includes a 15% increase on subsidy rates for programs in Flathead, Ravalli, Missoula, Gallatin, L &amp; C, and Yellowstone counties)</t>
  </si>
  <si>
    <t>Does this program participate in CACFP/Food Program?</t>
  </si>
  <si>
    <t>Indicate if the program participates in the federal Child and Adult Care Food Program</t>
  </si>
  <si>
    <r>
      <rPr>
        <b/>
        <sz val="10"/>
        <rFont val="Arial"/>
        <family val="2"/>
      </rPr>
      <t>Other income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(fill in any other annual income, such as fundraising or grants)</t>
    </r>
  </si>
  <si>
    <t xml:space="preserve">EFFICIENCY </t>
  </si>
  <si>
    <r>
      <t>Enrollment</t>
    </r>
    <r>
      <rPr>
        <i/>
        <sz val="10"/>
        <rFont val="Arial"/>
        <family val="2"/>
      </rPr>
      <t xml:space="preserve"> as % of total staffed capacity</t>
    </r>
  </si>
  <si>
    <t>85-95% is typical</t>
  </si>
  <si>
    <r>
      <t xml:space="preserve">Bad Debt </t>
    </r>
    <r>
      <rPr>
        <i/>
        <sz val="10"/>
        <rFont val="Arial"/>
        <family val="2"/>
      </rPr>
      <t>as % of revenue not collected</t>
    </r>
  </si>
  <si>
    <t>About 3% is typical</t>
  </si>
  <si>
    <t>RESULTS</t>
  </si>
  <si>
    <t>Results - Program Level</t>
  </si>
  <si>
    <t>Total Staff</t>
  </si>
  <si>
    <t>Total Teaching Staff</t>
  </si>
  <si>
    <t>Results - Cost per Child (CPC)</t>
  </si>
  <si>
    <t>Monthly</t>
  </si>
  <si>
    <t>Weekly</t>
  </si>
  <si>
    <t>EXPENSES</t>
  </si>
  <si>
    <t>Percent of expense</t>
  </si>
  <si>
    <t>Wages</t>
  </si>
  <si>
    <t>Benefits</t>
  </si>
  <si>
    <t>Total Personnel</t>
  </si>
  <si>
    <t>Subsidy rates, per child</t>
  </si>
  <si>
    <t xml:space="preserve">Monthly </t>
  </si>
  <si>
    <t>Conferences</t>
  </si>
  <si>
    <t>Gap - subsidy/true cost, per child</t>
  </si>
  <si>
    <t>Total Nonpersonnel</t>
  </si>
  <si>
    <t>TOTAL EXPENSE</t>
  </si>
  <si>
    <t>INCOME</t>
  </si>
  <si>
    <t>CACFP</t>
  </si>
  <si>
    <t>Tuition</t>
  </si>
  <si>
    <t>Subsidy</t>
  </si>
  <si>
    <t>Other income</t>
  </si>
  <si>
    <t>TOTAL INCOME</t>
  </si>
  <si>
    <t>Adjustment for bad debt and enrollment efficiency</t>
  </si>
  <si>
    <t>ADJUSTED INCOME</t>
  </si>
  <si>
    <t>Annual Revenue less Expenses profit/(loss)</t>
  </si>
  <si>
    <t>Percent of expenses</t>
  </si>
  <si>
    <t>PRO-FORMA BUDGET:  Montana Child Care Center</t>
  </si>
  <si>
    <t>Items in yellow shaded cells may be changed to model different scenarios</t>
  </si>
  <si>
    <t>user can change these cells</t>
  </si>
  <si>
    <t>DO NOT CHANGE OTHER CELLS</t>
  </si>
  <si>
    <t>these cells have data from the Variables sheet. DO NOT change here.</t>
  </si>
  <si>
    <t>A Typical Center</t>
  </si>
  <si>
    <t>Cost per child calcuations</t>
  </si>
  <si>
    <t>Max Grp</t>
  </si>
  <si>
    <t>Teachers</t>
  </si>
  <si>
    <t>Classrooms</t>
  </si>
  <si>
    <t>Admin Personnel</t>
  </si>
  <si>
    <t>Classroom Personnel</t>
  </si>
  <si>
    <t>Floaters</t>
  </si>
  <si>
    <t>Subs</t>
  </si>
  <si>
    <t>NP ed program</t>
  </si>
  <si>
    <t>NP occupancy</t>
  </si>
  <si>
    <t>NP admin</t>
  </si>
  <si>
    <t>Cleaning</t>
  </si>
  <si>
    <t>Op reserve</t>
  </si>
  <si>
    <t>Total</t>
  </si>
  <si>
    <t>Grand Total</t>
  </si>
  <si>
    <t>SA Adjustment</t>
  </si>
  <si>
    <t>CPC</t>
  </si>
  <si>
    <t>60% of expenses except classroom personnel</t>
  </si>
  <si>
    <t>= % for daily coverage (need 20% for opening/closing and breaks)</t>
  </si>
  <si>
    <t>EXPENSES: Personnel</t>
  </si>
  <si>
    <t>Total Cost</t>
  </si>
  <si>
    <t>Unit Cost</t>
  </si>
  <si>
    <t>TOTAL Staff</t>
  </si>
  <si>
    <t>Program Director</t>
  </si>
  <si>
    <t>Assistant Director (50% if &lt;30, then FT)</t>
  </si>
  <si>
    <t>Administrative assistant (50% if &lt;30 children, then FT)</t>
  </si>
  <si>
    <t>Subtotal administration and management staff</t>
  </si>
  <si>
    <t>Lead Teachers (1 per classroom)</t>
  </si>
  <si>
    <t>Teachers/Assistant Teachers</t>
  </si>
  <si>
    <t>School age Teachers</t>
  </si>
  <si>
    <t>School Age Asst Teachers</t>
  </si>
  <si>
    <t>Floater-Assists for % coverage throughout day)</t>
  </si>
  <si>
    <t>(Hourly used for sub)</t>
  </si>
  <si>
    <t>Floater-Assists for planning/release time</t>
  </si>
  <si>
    <t>subtotal teaching staff</t>
  </si>
  <si>
    <t>subtotal all staff</t>
  </si>
  <si>
    <r>
      <t xml:space="preserve">Subs for staff leave @ </t>
    </r>
    <r>
      <rPr>
        <u/>
        <sz val="10"/>
        <rFont val="Arial"/>
        <family val="2"/>
      </rPr>
      <t>days</t>
    </r>
    <r>
      <rPr>
        <sz val="10"/>
        <rFont val="Arial"/>
        <family val="2"/>
      </rPr>
      <t xml:space="preserve"> per year</t>
    </r>
  </si>
  <si>
    <r>
      <t xml:space="preserve">paid leave days </t>
    </r>
    <r>
      <rPr>
        <i/>
        <sz val="10"/>
        <rFont val="Arial"/>
        <family val="2"/>
      </rPr>
      <t>[plus 8-10  paid holidays per year, no subs needed for holidays]</t>
    </r>
  </si>
  <si>
    <r>
      <t xml:space="preserve">Subs for staff sick leave @ </t>
    </r>
    <r>
      <rPr>
        <u/>
        <sz val="10"/>
        <rFont val="Arial"/>
        <family val="2"/>
      </rPr>
      <t>days</t>
    </r>
    <r>
      <rPr>
        <sz val="10"/>
        <rFont val="Arial"/>
        <family val="2"/>
      </rPr>
      <t>/year</t>
    </r>
  </si>
  <si>
    <t>days of paid sick leave</t>
  </si>
  <si>
    <t>Subs for PD release time</t>
  </si>
  <si>
    <t>hours per year</t>
  </si>
  <si>
    <t>subtotal substitutes</t>
  </si>
  <si>
    <t>Subtotal Wages</t>
  </si>
  <si>
    <t>Mandatory benefits @ % salary</t>
  </si>
  <si>
    <t xml:space="preserve">FICA-Social Security </t>
  </si>
  <si>
    <t>Medicare</t>
  </si>
  <si>
    <t>Unemployment Insurance</t>
  </si>
  <si>
    <t>Workers Compensation</t>
  </si>
  <si>
    <t>Subtotal Mandatory Benefits</t>
  </si>
  <si>
    <t>Discretionary benefits</t>
  </si>
  <si>
    <t>Health Insurance</t>
  </si>
  <si>
    <t>2022 average employer contribution to employer-based health insurance:   https://www.kff.org/other/state-indicator/single-coverage/?currentTimeframe=0&amp;sortModel=%7B%22colId%22:%22Location%22,%22sort%22:%22asc%22%7D</t>
  </si>
  <si>
    <t>Retirement benefits</t>
  </si>
  <si>
    <t>Subtotal Discretionary Benefits</t>
  </si>
  <si>
    <t>Subtotal Personnel</t>
  </si>
  <si>
    <t>of expenses</t>
  </si>
  <si>
    <t xml:space="preserve">EXPENSES: Nonpersonnel </t>
  </si>
  <si>
    <t>COLA</t>
  </si>
  <si>
    <t>Default</t>
  </si>
  <si>
    <t>User entered</t>
  </si>
  <si>
    <t>Education Program for Children and Staff</t>
  </si>
  <si>
    <t>CPC check</t>
  </si>
  <si>
    <t>Program Management &amp; Administration</t>
  </si>
  <si>
    <t>Subtotal Nonpersonnel</t>
  </si>
  <si>
    <t>Nonpersonnel Total with Additional NP %</t>
  </si>
  <si>
    <t>Contribution to operating reserve</t>
  </si>
  <si>
    <t>Total Expense</t>
  </si>
  <si>
    <t># Children</t>
  </si>
  <si>
    <t>Rural</t>
  </si>
  <si>
    <t>Metro</t>
  </si>
  <si>
    <t>CACFP (all ages)</t>
  </si>
  <si>
    <t xml:space="preserve">Private Tuition </t>
  </si>
  <si>
    <t>STARS incentives</t>
  </si>
  <si>
    <t>Other income (grants, fundraising, etc.)</t>
  </si>
  <si>
    <t>Small</t>
  </si>
  <si>
    <t>Medium</t>
  </si>
  <si>
    <t>Large</t>
  </si>
  <si>
    <t>Total Revenue</t>
  </si>
  <si>
    <t>= Potential Total Revenue</t>
  </si>
  <si>
    <t>Adjustments to revenue</t>
  </si>
  <si>
    <t>Adjustment for enrollment efficiency</t>
  </si>
  <si>
    <t>Adjustment for bad debt</t>
  </si>
  <si>
    <t>TOTAL ACTUAL REVENUE</t>
  </si>
  <si>
    <t>Montana Family Child Care Cost Model 2024</t>
  </si>
  <si>
    <t>FAMILY CHILD CARE HOMES</t>
  </si>
  <si>
    <t>ENROLLMENT</t>
  </si>
  <si>
    <t>Infants</t>
  </si>
  <si>
    <t>3-5 year olds</t>
  </si>
  <si>
    <t>Select salary level in D15</t>
  </si>
  <si>
    <t>Provider/Owner</t>
  </si>
  <si>
    <t xml:space="preserve">Assistant </t>
  </si>
  <si>
    <t>Yes $6,602</t>
  </si>
  <si>
    <t>Select amount per employee of discretionary benefits for provider/owner and any assistants</t>
  </si>
  <si>
    <t>Retirement</t>
  </si>
  <si>
    <t>enter percentage of salary paid in benefits to provider/owner and any assistants</t>
  </si>
  <si>
    <t>Yes $5,000</t>
  </si>
  <si>
    <t>Yes $7,500</t>
  </si>
  <si>
    <t>Yes $10,000</t>
  </si>
  <si>
    <t xml:space="preserve">Conferences </t>
  </si>
  <si>
    <t>School Age Transportation</t>
  </si>
  <si>
    <t>Cost per month</t>
  </si>
  <si>
    <t>Default Values</t>
  </si>
  <si>
    <t>Apply high-growth county subsidy differential?</t>
  </si>
  <si>
    <r>
      <t>Other income</t>
    </r>
    <r>
      <rPr>
        <sz val="10"/>
        <rFont val="Arial"/>
        <family val="2"/>
      </rPr>
      <t xml:space="preserve"> (fill in any other annual income, such as fundraising or grants)</t>
    </r>
  </si>
  <si>
    <t>RESULTS - Program Level</t>
  </si>
  <si>
    <t>Annual CPC</t>
  </si>
  <si>
    <t>Monthly CPC</t>
  </si>
  <si>
    <t>Weekly CPC</t>
  </si>
  <si>
    <t>GAP, subsidy/true cost, per child</t>
  </si>
  <si>
    <t>Additional Non Personnel</t>
  </si>
  <si>
    <t>Family Child Care Home Profile</t>
  </si>
  <si>
    <t>Cost per child</t>
  </si>
  <si>
    <t>Cost per age group</t>
  </si>
  <si>
    <t>100% CPC</t>
  </si>
  <si>
    <t>Total cost per age group</t>
  </si>
  <si>
    <t>Personnel</t>
  </si>
  <si>
    <t>Mand benefits</t>
  </si>
  <si>
    <t>Discretionary Benefits</t>
  </si>
  <si>
    <t>Direct Expenses</t>
  </si>
  <si>
    <t>Toddlers</t>
  </si>
  <si>
    <t>3-4 year olds</t>
  </si>
  <si>
    <t>Total Children</t>
  </si>
  <si>
    <t>Salaries and Wages</t>
  </si>
  <si>
    <t>Provider/Teacher</t>
  </si>
  <si>
    <t>Asst Teacher - Group Home</t>
  </si>
  <si>
    <t>Assistant Teacher - Infants</t>
  </si>
  <si>
    <t>hourly</t>
  </si>
  <si>
    <t>daily</t>
  </si>
  <si>
    <t>Floater/Sub (Quality activities)</t>
  </si>
  <si>
    <t>Subtotal Salary and Wages</t>
  </si>
  <si>
    <t>Mandatory benefits for salaried staff</t>
  </si>
  <si>
    <t xml:space="preserve">Unemployment Insurance </t>
  </si>
  <si>
    <t>per person</t>
  </si>
  <si>
    <t>Sick Leave</t>
  </si>
  <si>
    <t>Paid leave</t>
  </si>
  <si>
    <t>Subtotal Wages and Benefits</t>
  </si>
  <si>
    <t>Other Direct Expense: 100% Business Use (reported on IRS Schedule C)</t>
  </si>
  <si>
    <r>
      <t xml:space="preserve">For details, see </t>
    </r>
    <r>
      <rPr>
        <i/>
        <sz val="10"/>
        <rFont val="Arial"/>
        <family val="2"/>
      </rPr>
      <t>Operating Expense Direct &amp; Shared</t>
    </r>
  </si>
  <si>
    <t xml:space="preserve">   Nonpersonnel: Admin/Office</t>
  </si>
  <si>
    <t xml:space="preserve">   Nonpersonnel: Program (calculated per child)</t>
  </si>
  <si>
    <t>Additional cleaning</t>
  </si>
  <si>
    <t>Additional nonpersonnel</t>
  </si>
  <si>
    <t>Nonpersonnel Total with Additional NP</t>
  </si>
  <si>
    <t>Contribution to operating reserve fund</t>
  </si>
  <si>
    <t>Total Nonpersonnel Expenses</t>
  </si>
  <si>
    <t>TOTAL EXPENSES</t>
  </si>
  <si>
    <t>infant</t>
  </si>
  <si>
    <t>toddler</t>
  </si>
  <si>
    <t>Family</t>
  </si>
  <si>
    <t>Group</t>
  </si>
  <si>
    <t xml:space="preserve"> = Actual Total Collected Revenue</t>
  </si>
  <si>
    <t>https://www.bls.gov/oes/current/oes_mt.htm</t>
  </si>
  <si>
    <t>User added</t>
  </si>
  <si>
    <t>User FCC</t>
  </si>
  <si>
    <t>BLS, $15 min wage adjusted</t>
  </si>
  <si>
    <t>percent increase from asst teacher to director</t>
  </si>
  <si>
    <t>percent increase from asst teacher to admin asst</t>
  </si>
  <si>
    <t>percent increase from asst teacher to lead</t>
  </si>
  <si>
    <t>percent decrease from lead to asst</t>
  </si>
  <si>
    <t>Kindergarten Parity</t>
  </si>
  <si>
    <t xml:space="preserve">Living Wage </t>
  </si>
  <si>
    <t>CENTERS</t>
  </si>
  <si>
    <t>User Input</t>
  </si>
  <si>
    <t>Group Size</t>
  </si>
  <si>
    <t>FCC</t>
  </si>
  <si>
    <t>Family Child Care Home</t>
  </si>
  <si>
    <t>Group Family Child Care home</t>
  </si>
  <si>
    <t>Max</t>
  </si>
  <si>
    <t>Toddlers - School Age</t>
  </si>
  <si>
    <t>PCQC - Center</t>
  </si>
  <si>
    <t>Fixed cost</t>
  </si>
  <si>
    <t>inflation adjustment</t>
  </si>
  <si>
    <t>Category</t>
  </si>
  <si>
    <t>PCQC - FCC</t>
  </si>
  <si>
    <t>Kids</t>
  </si>
  <si>
    <t>Annual Costs per Classroom</t>
  </si>
  <si>
    <t>advertising</t>
  </si>
  <si>
    <t>Program Management</t>
  </si>
  <si>
    <t>vehicle expense</t>
  </si>
  <si>
    <t>Office Supplies/Equipment</t>
  </si>
  <si>
    <t>depreciation</t>
  </si>
  <si>
    <t>Telephone/Internet</t>
  </si>
  <si>
    <t>insurance</t>
  </si>
  <si>
    <t>Insurance</t>
  </si>
  <si>
    <t>interest on biz debt</t>
  </si>
  <si>
    <t>Legal/Professional Fees</t>
  </si>
  <si>
    <t>legal &amp; Prof fees</t>
  </si>
  <si>
    <t>Fees/Permits</t>
  </si>
  <si>
    <t>Office supplie</t>
  </si>
  <si>
    <t>Repairs/Maint</t>
  </si>
  <si>
    <t>Supplies</t>
  </si>
  <si>
    <t>Food</t>
  </si>
  <si>
    <t>Telephone</t>
  </si>
  <si>
    <t>Training/PD</t>
  </si>
  <si>
    <t>Rent /Lease/Mortgage (incl RE taxes)</t>
  </si>
  <si>
    <t>Prof Member</t>
  </si>
  <si>
    <t>Other occupancy (incl utilities)</t>
  </si>
  <si>
    <t>License/permits</t>
  </si>
  <si>
    <t>Maintenance/Repairs/cleaning</t>
  </si>
  <si>
    <t>Other</t>
  </si>
  <si>
    <t>Ed/Program Child</t>
  </si>
  <si>
    <t>Mortgage/Rent</t>
  </si>
  <si>
    <t>Food &amp; Food Related Items</t>
  </si>
  <si>
    <t>Classroom supplies</t>
  </si>
  <si>
    <t>Home Repairs/Maint</t>
  </si>
  <si>
    <t>Medical Supplies</t>
  </si>
  <si>
    <t>Utilities</t>
  </si>
  <si>
    <t>Educational Supplies</t>
  </si>
  <si>
    <t>Household supplies</t>
  </si>
  <si>
    <t>postage</t>
  </si>
  <si>
    <t>Hours worked</t>
  </si>
  <si>
    <t>Space in home</t>
  </si>
  <si>
    <t>Total space</t>
  </si>
  <si>
    <t>Education/Program - Staff</t>
  </si>
  <si>
    <t>Time-Space Percent</t>
  </si>
  <si>
    <t>Other: Prof Consultants/Temp Personnel</t>
  </si>
  <si>
    <t>Total 100% Biz</t>
  </si>
  <si>
    <t>Shared expense</t>
  </si>
  <si>
    <t>Total Non-Personnel</t>
  </si>
  <si>
    <t>Per classroom</t>
  </si>
  <si>
    <t>per child</t>
  </si>
  <si>
    <t>TOTAL</t>
  </si>
  <si>
    <t>Administration</t>
  </si>
  <si>
    <t>Administration (by child)</t>
  </si>
  <si>
    <t>Occupancy (by classroom)</t>
  </si>
  <si>
    <t>Education Program (by child)</t>
  </si>
  <si>
    <t xml:space="preserve">Use in FCC R&amp;E </t>
  </si>
  <si>
    <t xml:space="preserve">Use in CTR R&amp;E </t>
  </si>
  <si>
    <t>Monthly cleanings</t>
  </si>
  <si>
    <t>additional sanitation</t>
  </si>
  <si>
    <t>School age Transportation</t>
  </si>
  <si>
    <t>Amount</t>
  </si>
  <si>
    <t>annual per child</t>
  </si>
  <si>
    <t>Vehicle</t>
  </si>
  <si>
    <t>base rate</t>
  </si>
  <si>
    <t>https://dphhs.mt.gov/assets/ecfsd/childcare/documentsandresources/BBSReimbursementRates23.pdf</t>
  </si>
  <si>
    <t>https://dphhs.mt.gov/ecfsd/childcare/stars/Incentives</t>
  </si>
  <si>
    <t>Infant</t>
  </si>
  <si>
    <t>Toddler/2 year old</t>
  </si>
  <si>
    <t>4 year old</t>
  </si>
  <si>
    <t>Group Homes</t>
  </si>
  <si>
    <t>CHILD AND ADULT CARE FOOD PROGRAM (CACFP)</t>
  </si>
  <si>
    <t>https://www.govinfo.gov/content/pkg/FR-2023-07-07/pdf/2023-14317.pdf</t>
  </si>
  <si>
    <t>UPDATED</t>
  </si>
  <si>
    <t>Per Meal Rates in Whole or Fractions of U.S. Dollars</t>
  </si>
  <si>
    <t>Effective from July 1, 2023 - June 30, 2024</t>
  </si>
  <si>
    <t>Centers</t>
  </si>
  <si>
    <t>DO NOT ALTER = used in formulas on other spreadsheets</t>
  </si>
  <si>
    <t>Family Income Eligibility</t>
  </si>
  <si>
    <t>Breakfast</t>
  </si>
  <si>
    <t>Lunch /Supper</t>
  </si>
  <si>
    <t>Snack</t>
  </si>
  <si>
    <t xml:space="preserve">Daily </t>
  </si>
  <si>
    <t>weekly</t>
  </si>
  <si>
    <t>breakfast and 2 snacks (part-day program)</t>
  </si>
  <si>
    <t>185% and up</t>
  </si>
  <si>
    <t>PAID</t>
  </si>
  <si>
    <t>&lt;185% FPL</t>
  </si>
  <si>
    <t>REDUCED PRICE</t>
  </si>
  <si>
    <t>&lt;130% FPL</t>
  </si>
  <si>
    <t>FREE</t>
  </si>
  <si>
    <t>average</t>
  </si>
  <si>
    <t>1 breakfast,1  lunch or dinner and 2 snacks</t>
  </si>
  <si>
    <t>Homes</t>
  </si>
  <si>
    <t>Daily</t>
  </si>
  <si>
    <t>Tier I</t>
  </si>
  <si>
    <t>Tier II</t>
  </si>
  <si>
    <t>Montana</t>
  </si>
  <si>
    <t>Family Child Care Owners</t>
  </si>
  <si>
    <t xml:space="preserve">CSCCE Data </t>
  </si>
  <si>
    <t>Family Composition</t>
  </si>
  <si>
    <t>% assumption</t>
  </si>
  <si>
    <t>Living Wage LA County</t>
  </si>
  <si>
    <t>weighted amt</t>
  </si>
  <si>
    <t>Column1</t>
  </si>
  <si>
    <t>Column2</t>
  </si>
  <si>
    <t>Married</t>
  </si>
  <si>
    <t>Single</t>
  </si>
  <si>
    <t>Single no children</t>
  </si>
  <si>
    <t>no kids</t>
  </si>
  <si>
    <t>1 kid</t>
  </si>
  <si>
    <t>2+ kids</t>
  </si>
  <si>
    <t xml:space="preserve">1 kid </t>
  </si>
  <si>
    <t>Single one child</t>
  </si>
  <si>
    <t>Single two children</t>
  </si>
  <si>
    <t>2 adults no children</t>
  </si>
  <si>
    <t>Teacher</t>
  </si>
  <si>
    <t>2 working adults one child</t>
  </si>
  <si>
    <t>Asst Teach</t>
  </si>
  <si>
    <t>2 working adults two children</t>
  </si>
  <si>
    <t>Yellow highlighted from CSCCE demographics memo and household composition memow</t>
  </si>
  <si>
    <t>single no kids</t>
  </si>
  <si>
    <t>single 1 kid</t>
  </si>
  <si>
    <t>single 2+kids</t>
  </si>
  <si>
    <t>married no kids</t>
  </si>
  <si>
    <t>married 1 kid</t>
  </si>
  <si>
    <t>married 2+kids</t>
  </si>
  <si>
    <t>Directors</t>
  </si>
  <si>
    <t>Self Sufficiency</t>
  </si>
  <si>
    <t>weighted</t>
  </si>
  <si>
    <t>note:</t>
  </si>
  <si>
    <t>marrital status not available for AT so used Teacher</t>
  </si>
  <si>
    <t>married</t>
  </si>
  <si>
    <t>single</t>
  </si>
  <si>
    <t>no kid</t>
  </si>
  <si>
    <t>2 + kid</t>
  </si>
  <si>
    <t>Self sufficiency Standard</t>
  </si>
  <si>
    <t>1 adult/1preschool</t>
  </si>
  <si>
    <t>1 adult/1preschool/1infant</t>
  </si>
  <si>
    <t>married one child</t>
  </si>
  <si>
    <t>2adult/1preschool</t>
  </si>
  <si>
    <t>married two children</t>
  </si>
  <si>
    <t>2 adult/1 preschool/1 infant</t>
  </si>
  <si>
    <t>Asst Teachers</t>
  </si>
  <si>
    <t>Started with CSCCE-based living wage for assistant teacher and then applied percentages</t>
  </si>
  <si>
    <t>started with living wage for single no kids for assistant teacher and hten applied percentages</t>
  </si>
  <si>
    <t>MIT Living Wage 1</t>
  </si>
  <si>
    <t>MIT Living Wage 2</t>
  </si>
  <si>
    <t xml:space="preserve">  11-9031 </t>
  </si>
  <si>
    <t>Asst Director/Staff Supervisor</t>
  </si>
  <si>
    <t>80% of director</t>
  </si>
  <si>
    <t>Financial Manager</t>
  </si>
  <si>
    <t>Admin Asst</t>
  </si>
  <si>
    <t>43-9199</t>
  </si>
  <si>
    <t>25-2011</t>
  </si>
  <si>
    <t>Asst Teacher</t>
  </si>
  <si>
    <t>39-9011</t>
  </si>
  <si>
    <t>Floater/Substitute</t>
  </si>
  <si>
    <t>Lead Teacher - School Age</t>
  </si>
  <si>
    <t>Assistant Teacher - School Age</t>
  </si>
  <si>
    <t>FCC provider</t>
  </si>
  <si>
    <t>lead hourly, 55 hrs/week</t>
  </si>
  <si>
    <t>Salary Increases Percentages</t>
  </si>
  <si>
    <t>NM</t>
  </si>
  <si>
    <t>DC (lowest quality)</t>
  </si>
  <si>
    <t>DC (avg. across quality)</t>
  </si>
  <si>
    <t>SF</t>
  </si>
  <si>
    <t>AVG</t>
  </si>
  <si>
    <t>Assistant Teacher to Teacher</t>
  </si>
  <si>
    <t>Lead Teacher to AD</t>
  </si>
  <si>
    <t>AD to Director</t>
  </si>
  <si>
    <t xml:space="preserve">LIVING WAGE </t>
  </si>
  <si>
    <t>https://livingwage.mit.edu/</t>
  </si>
  <si>
    <t>SELF SUFFICIENCY STANDARD</t>
  </si>
  <si>
    <t>https://selfsufficiencystandard.org/calculator/</t>
  </si>
  <si>
    <t>To override default ratio and group size, enter new values in columns H and I here. To revert to default, enter 0 in columns H and I-----&gt;</t>
  </si>
  <si>
    <t>Toddler</t>
  </si>
  <si>
    <t>Infant (0-11 months)</t>
  </si>
  <si>
    <t>Toddler (12-23 months)</t>
  </si>
  <si>
    <t>2 year old</t>
  </si>
  <si>
    <t>3-5 year old</t>
  </si>
  <si>
    <t>2-3 year old</t>
  </si>
  <si>
    <t>Infant &amp; Toddler (0-23 mos.)</t>
  </si>
  <si>
    <t>Model developed by Prenatal to Five Fiscal Strategies, 2024. Last updated: July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</si>
</sst>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"/>
    <numFmt numFmtId="166" formatCode="0.0"/>
    <numFmt numFmtId="167" formatCode="_(&quot;$&quot;* #,##0_);_(&quot;$&quot;* \(#,##0\);_(&quot;$&quot;* &quot;-&quot;??_);_(@_)"/>
    <numFmt numFmtId="168" formatCode="&quot;$&quot;#,##0;[Red]&quot;$&quot;#,##0"/>
    <numFmt numFmtId="169" formatCode="_(* #,##0_);_(* \(#,##0\);_(* &quot;-&quot;??_);_(@_)"/>
    <numFmt numFmtId="170" formatCode="_(&quot;$&quot;* #,##0.0_);_(&quot;$&quot;* \(#,##0.0\);_(&quot;$&quot;* &quot;-&quot;??_);_(@_)"/>
    <numFmt numFmtId="171" formatCode="0_);[Red]\(0\)"/>
    <numFmt numFmtId="172" formatCode="0.0%"/>
    <numFmt numFmtId="173" formatCode="_(* #,##0_);_(* \(#,##0\);_(* &quot;-&quot;?_);_(@_)"/>
    <numFmt numFmtId="174" formatCode="_(* #,##0.0_);_(* \(#,##0.0\);_(* &quot;-&quot;?_);_(@_)"/>
    <numFmt numFmtId="175" formatCode="_(* #,##0.0_);_(* \(#,##0.0\);_(* &quot;-&quot;??_);_(@_)"/>
    <numFmt numFmtId="176" formatCode="_([$$-409]* #,##0.00_);_([$$-409]* \(#,##0.00\);_([$$-409]* &quot;-&quot;??_);_(@_)"/>
  </numFmts>
  <fonts count="97">
    <font>
      <sz val="10"/>
      <name val="Arial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Verdana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u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u/>
      <sz val="10"/>
      <name val="Arial"/>
      <family val="2"/>
    </font>
    <font>
      <b/>
      <sz val="10"/>
      <color rgb="FFFF0000"/>
      <name val="Arial"/>
      <family val="2"/>
    </font>
    <font>
      <i/>
      <sz val="9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4"/>
      <name val="Calibri"/>
      <family val="2"/>
    </font>
    <font>
      <sz val="10"/>
      <color theme="0"/>
      <name val="Arial"/>
      <family val="2"/>
    </font>
    <font>
      <sz val="9"/>
      <color rgb="FF000000"/>
      <name val="Tahoma"/>
      <family val="2"/>
    </font>
    <font>
      <b/>
      <sz val="10"/>
      <color theme="1"/>
      <name val="Arial"/>
      <family val="2"/>
    </font>
    <font>
      <sz val="10"/>
      <color theme="2"/>
      <name val="Arial"/>
      <family val="2"/>
    </font>
    <font>
      <sz val="10"/>
      <color rgb="FF000000"/>
      <name val="Times New Roman"/>
      <family val="1"/>
    </font>
    <font>
      <i/>
      <sz val="10"/>
      <color theme="1"/>
      <name val="Arial"/>
      <family val="2"/>
    </font>
    <font>
      <b/>
      <sz val="11"/>
      <color rgb="FFFF0000"/>
      <name val="Arial"/>
      <family val="2"/>
    </font>
    <font>
      <b/>
      <u/>
      <sz val="1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rgb="FFFF0000"/>
      <name val="Calibri"/>
      <family val="2"/>
      <scheme val="minor"/>
    </font>
    <font>
      <b/>
      <sz val="12"/>
      <name val="Arial"/>
      <family val="2"/>
    </font>
    <font>
      <i/>
      <sz val="11"/>
      <color theme="1"/>
      <name val="Calibri"/>
      <family val="2"/>
      <scheme val="minor"/>
    </font>
    <font>
      <b/>
      <i/>
      <sz val="12"/>
      <color theme="1"/>
      <name val="Arial"/>
      <family val="2"/>
    </font>
    <font>
      <b/>
      <i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rgb="FF000000"/>
      <name val="Arial"/>
      <family val="2"/>
    </font>
    <font>
      <b/>
      <i/>
      <u/>
      <sz val="10"/>
      <name val="Arial"/>
      <family val="2"/>
    </font>
    <font>
      <sz val="10"/>
      <name val="Arial"/>
      <family val="2"/>
    </font>
    <font>
      <sz val="10"/>
      <color theme="0" tint="-4.9989318521683403E-2"/>
      <name val="Arial"/>
      <family val="2"/>
    </font>
    <font>
      <sz val="11"/>
      <color theme="0" tint="-0.499984740745262"/>
      <name val="Calibri"/>
      <family val="2"/>
      <scheme val="minor"/>
    </font>
    <font>
      <sz val="10"/>
      <color theme="0" tint="-0.499984740745262"/>
      <name val="Arial"/>
      <family val="2"/>
    </font>
    <font>
      <i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i/>
      <sz val="10"/>
      <color theme="0" tint="-0.499984740745262"/>
      <name val="Arial"/>
      <family val="2"/>
    </font>
    <font>
      <sz val="10"/>
      <name val="TimesNewRomanPSMT"/>
    </font>
    <font>
      <b/>
      <sz val="10"/>
      <name val="TimesNewRomanPS"/>
    </font>
    <font>
      <i/>
      <sz val="9"/>
      <color rgb="FFFF0000"/>
      <name val="Arial"/>
      <family val="2"/>
    </font>
    <font>
      <sz val="10"/>
      <color theme="0" tint="-0.249977111117893"/>
      <name val="Arial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9"/>
      <name val="Arial"/>
      <family val="2"/>
    </font>
    <font>
      <b/>
      <sz val="14"/>
      <color theme="0"/>
      <name val="Arial"/>
      <family val="2"/>
    </font>
    <font>
      <sz val="12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1"/>
      <color rgb="FFFF0000"/>
      <name val="Calibri"/>
      <family val="2"/>
      <scheme val="minor"/>
    </font>
    <font>
      <i/>
      <sz val="8"/>
      <name val="Arial"/>
      <family val="2"/>
    </font>
    <font>
      <i/>
      <sz val="10"/>
      <name val="Calibri"/>
      <family val="2"/>
      <scheme val="minor"/>
    </font>
    <font>
      <i/>
      <u/>
      <sz val="10"/>
      <name val="Arial"/>
      <family val="2"/>
    </font>
    <font>
      <b/>
      <sz val="11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Calibri"/>
      <family val="2"/>
    </font>
    <font>
      <b/>
      <i/>
      <u/>
      <sz val="16"/>
      <name val="Arial"/>
      <family val="2"/>
    </font>
    <font>
      <sz val="12"/>
      <name val="Arial"/>
      <family val="2"/>
    </font>
    <font>
      <sz val="14"/>
      <color theme="1"/>
      <name val="Arial"/>
      <family val="2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DE9D9"/>
        <bgColor rgb="FF000000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8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/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/>
      <diagonal/>
    </border>
    <border>
      <left/>
      <right style="thick">
        <color auto="1"/>
      </right>
      <top/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</borders>
  <cellStyleXfs count="72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4" fillId="3" borderId="0" applyNumberFormat="0" applyBorder="0" applyAlignment="0" applyProtection="0"/>
    <xf numFmtId="0" fontId="15" fillId="20" borderId="1" applyNumberFormat="0" applyAlignment="0" applyProtection="0"/>
    <xf numFmtId="0" fontId="16" fillId="21" borderId="2" applyNumberFormat="0" applyAlignment="0" applyProtection="0"/>
    <xf numFmtId="44" fontId="8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3" fillId="7" borderId="1" applyNumberFormat="0" applyAlignment="0" applyProtection="0"/>
    <xf numFmtId="0" fontId="24" fillId="0" borderId="6" applyNumberFormat="0" applyFill="0" applyAlignment="0" applyProtection="0"/>
    <xf numFmtId="0" fontId="25" fillId="22" borderId="0" applyNumberFormat="0" applyBorder="0" applyAlignment="0" applyProtection="0"/>
    <xf numFmtId="0" fontId="8" fillId="23" borderId="7" applyNumberFormat="0" applyFont="0" applyAlignment="0" applyProtection="0"/>
    <xf numFmtId="0" fontId="27" fillId="20" borderId="8" applyNumberFormat="0" applyAlignment="0" applyProtection="0"/>
    <xf numFmtId="0" fontId="28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30" fillId="0" borderId="0" applyNumberFormat="0" applyFill="0" applyBorder="0" applyAlignment="0" applyProtection="0"/>
    <xf numFmtId="9" fontId="8" fillId="0" borderId="0" applyFont="0" applyFill="0" applyBorder="0" applyAlignment="0" applyProtection="0"/>
    <xf numFmtId="0" fontId="36" fillId="0" borderId="0"/>
    <xf numFmtId="9" fontId="36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26" fillId="0" borderId="0"/>
    <xf numFmtId="44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" fillId="0" borderId="0"/>
    <xf numFmtId="44" fontId="1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48" fillId="0" borderId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</cellStyleXfs>
  <cellXfs count="946">
    <xf numFmtId="0" fontId="0" fillId="0" borderId="0" xfId="0"/>
    <xf numFmtId="9" fontId="0" fillId="0" borderId="0" xfId="0" applyNumberFormat="1"/>
    <xf numFmtId="0" fontId="10" fillId="0" borderId="0" xfId="0" applyFont="1"/>
    <xf numFmtId="0" fontId="0" fillId="24" borderId="0" xfId="0" applyFill="1"/>
    <xf numFmtId="0" fontId="0" fillId="0" borderId="0" xfId="0" applyAlignment="1">
      <alignment horizontal="center"/>
    </xf>
    <xf numFmtId="0" fontId="11" fillId="0" borderId="0" xfId="0" applyFont="1"/>
    <xf numFmtId="0" fontId="32" fillId="0" borderId="0" xfId="0" applyFont="1"/>
    <xf numFmtId="6" fontId="31" fillId="0" borderId="0" xfId="0" applyNumberFormat="1" applyFont="1"/>
    <xf numFmtId="0" fontId="33" fillId="0" borderId="0" xfId="0" applyFont="1"/>
    <xf numFmtId="0" fontId="0" fillId="0" borderId="0" xfId="0" applyAlignment="1">
      <alignment horizontal="right"/>
    </xf>
    <xf numFmtId="6" fontId="0" fillId="0" borderId="0" xfId="0" applyNumberFormat="1"/>
    <xf numFmtId="164" fontId="0" fillId="0" borderId="0" xfId="0" applyNumberFormat="1"/>
    <xf numFmtId="9" fontId="0" fillId="24" borderId="0" xfId="0" applyNumberFormat="1" applyFill="1"/>
    <xf numFmtId="6" fontId="34" fillId="0" borderId="0" xfId="0" applyNumberFormat="1" applyFont="1"/>
    <xf numFmtId="6" fontId="8" fillId="0" borderId="0" xfId="0" applyNumberFormat="1" applyFont="1"/>
    <xf numFmtId="6" fontId="10" fillId="0" borderId="0" xfId="0" applyNumberFormat="1" applyFont="1"/>
    <xf numFmtId="2" fontId="0" fillId="0" borderId="0" xfId="0" applyNumberFormat="1"/>
    <xf numFmtId="2" fontId="10" fillId="0" borderId="0" xfId="0" applyNumberFormat="1" applyFont="1"/>
    <xf numFmtId="0" fontId="34" fillId="0" borderId="0" xfId="0" applyFont="1" applyAlignment="1">
      <alignment horizontal="right"/>
    </xf>
    <xf numFmtId="8" fontId="0" fillId="0" borderId="0" xfId="0" applyNumberFormat="1"/>
    <xf numFmtId="0" fontId="10" fillId="0" borderId="0" xfId="0" applyFont="1" applyAlignment="1">
      <alignment horizontal="right"/>
    </xf>
    <xf numFmtId="0" fontId="22" fillId="0" borderId="0" xfId="35" applyAlignment="1" applyProtection="1"/>
    <xf numFmtId="0" fontId="10" fillId="25" borderId="0" xfId="0" applyFont="1" applyFill="1"/>
    <xf numFmtId="0" fontId="0" fillId="25" borderId="0" xfId="0" applyFill="1"/>
    <xf numFmtId="165" fontId="0" fillId="0" borderId="0" xfId="0" applyNumberFormat="1"/>
    <xf numFmtId="0" fontId="35" fillId="0" borderId="0" xfId="0" applyFont="1" applyAlignment="1">
      <alignment horizontal="right"/>
    </xf>
    <xf numFmtId="0" fontId="35" fillId="0" borderId="0" xfId="0" applyFont="1" applyAlignment="1">
      <alignment horizontal="left"/>
    </xf>
    <xf numFmtId="0" fontId="0" fillId="26" borderId="0" xfId="0" applyFill="1"/>
    <xf numFmtId="20" fontId="0" fillId="0" borderId="0" xfId="0" quotePrefix="1" applyNumberFormat="1" applyAlignment="1">
      <alignment horizontal="right"/>
    </xf>
    <xf numFmtId="0" fontId="0" fillId="28" borderId="0" xfId="0" applyFill="1"/>
    <xf numFmtId="9" fontId="0" fillId="0" borderId="0" xfId="44" applyFont="1"/>
    <xf numFmtId="0" fontId="37" fillId="0" borderId="0" xfId="0" applyFont="1"/>
    <xf numFmtId="0" fontId="8" fillId="0" borderId="0" xfId="0" applyFont="1"/>
    <xf numFmtId="0" fontId="8" fillId="0" borderId="0" xfId="0" quotePrefix="1" applyFont="1"/>
    <xf numFmtId="165" fontId="8" fillId="0" borderId="0" xfId="0" applyNumberFormat="1" applyFont="1"/>
    <xf numFmtId="0" fontId="8" fillId="0" borderId="0" xfId="0" applyFont="1" applyAlignment="1">
      <alignment horizontal="right"/>
    </xf>
    <xf numFmtId="8" fontId="8" fillId="0" borderId="0" xfId="0" applyNumberFormat="1" applyFont="1"/>
    <xf numFmtId="20" fontId="8" fillId="0" borderId="0" xfId="0" quotePrefix="1" applyNumberFormat="1" applyFont="1" applyAlignment="1">
      <alignment horizontal="right"/>
    </xf>
    <xf numFmtId="0" fontId="8" fillId="0" borderId="0" xfId="0" applyFont="1" applyAlignment="1">
      <alignment horizontal="left"/>
    </xf>
    <xf numFmtId="166" fontId="10" fillId="0" borderId="0" xfId="0" applyNumberFormat="1" applyFont="1"/>
    <xf numFmtId="6" fontId="0" fillId="28" borderId="0" xfId="0" applyNumberFormat="1" applyFill="1"/>
    <xf numFmtId="0" fontId="0" fillId="0" borderId="0" xfId="0" applyAlignment="1">
      <alignment horizontal="left" vertical="top"/>
    </xf>
    <xf numFmtId="0" fontId="0" fillId="0" borderId="15" xfId="0" applyBorder="1"/>
    <xf numFmtId="0" fontId="8" fillId="0" borderId="15" xfId="0" applyFont="1" applyBorder="1"/>
    <xf numFmtId="0" fontId="0" fillId="0" borderId="12" xfId="0" applyBorder="1"/>
    <xf numFmtId="0" fontId="0" fillId="0" borderId="10" xfId="0" applyBorder="1"/>
    <xf numFmtId="6" fontId="31" fillId="0" borderId="15" xfId="0" applyNumberFormat="1" applyFont="1" applyBorder="1"/>
    <xf numFmtId="6" fontId="10" fillId="0" borderId="15" xfId="0" applyNumberFormat="1" applyFont="1" applyBorder="1"/>
    <xf numFmtId="6" fontId="0" fillId="0" borderId="15" xfId="0" applyNumberFormat="1" applyBorder="1"/>
    <xf numFmtId="0" fontId="10" fillId="0" borderId="15" xfId="0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38" fillId="0" borderId="11" xfId="0" applyFont="1" applyBorder="1"/>
    <xf numFmtId="0" fontId="11" fillId="0" borderId="11" xfId="0" applyFont="1" applyBorder="1"/>
    <xf numFmtId="0" fontId="33" fillId="0" borderId="0" xfId="0" applyFont="1" applyAlignment="1">
      <alignment wrapText="1"/>
    </xf>
    <xf numFmtId="0" fontId="11" fillId="0" borderId="16" xfId="0" applyFont="1" applyBorder="1"/>
    <xf numFmtId="0" fontId="10" fillId="0" borderId="12" xfId="0" applyFont="1" applyBorder="1"/>
    <xf numFmtId="165" fontId="10" fillId="0" borderId="12" xfId="0" applyNumberFormat="1" applyFont="1" applyBorder="1"/>
    <xf numFmtId="0" fontId="8" fillId="28" borderId="25" xfId="0" applyFont="1" applyFill="1" applyBorder="1" applyAlignment="1">
      <alignment horizontal="right"/>
    </xf>
    <xf numFmtId="165" fontId="8" fillId="28" borderId="26" xfId="0" applyNumberFormat="1" applyFont="1" applyFill="1" applyBorder="1"/>
    <xf numFmtId="0" fontId="8" fillId="28" borderId="27" xfId="0" applyFont="1" applyFill="1" applyBorder="1" applyAlignment="1">
      <alignment horizontal="right"/>
    </xf>
    <xf numFmtId="165" fontId="0" fillId="28" borderId="28" xfId="0" applyNumberFormat="1" applyFill="1" applyBorder="1"/>
    <xf numFmtId="165" fontId="8" fillId="28" borderId="28" xfId="0" applyNumberFormat="1" applyFont="1" applyFill="1" applyBorder="1"/>
    <xf numFmtId="0" fontId="8" fillId="28" borderId="29" xfId="0" applyFont="1" applyFill="1" applyBorder="1" applyAlignment="1">
      <alignment horizontal="right"/>
    </xf>
    <xf numFmtId="0" fontId="38" fillId="28" borderId="30" xfId="0" applyFont="1" applyFill="1" applyBorder="1"/>
    <xf numFmtId="0" fontId="11" fillId="0" borderId="0" xfId="0" applyFont="1" applyAlignment="1">
      <alignment horizontal="right"/>
    </xf>
    <xf numFmtId="0" fontId="34" fillId="0" borderId="0" xfId="0" applyFont="1"/>
    <xf numFmtId="166" fontId="8" fillId="0" borderId="0" xfId="0" applyNumberFormat="1" applyFont="1" applyAlignment="1">
      <alignment horizontal="right"/>
    </xf>
    <xf numFmtId="9" fontId="8" fillId="0" borderId="0" xfId="44" applyFont="1" applyFill="1"/>
    <xf numFmtId="166" fontId="0" fillId="0" borderId="0" xfId="0" applyNumberFormat="1" applyAlignment="1">
      <alignment horizontal="right"/>
    </xf>
    <xf numFmtId="165" fontId="10" fillId="0" borderId="0" xfId="0" applyNumberFormat="1" applyFont="1"/>
    <xf numFmtId="0" fontId="9" fillId="0" borderId="0" xfId="0" applyFont="1"/>
    <xf numFmtId="10" fontId="8" fillId="0" borderId="0" xfId="0" applyNumberFormat="1" applyFont="1"/>
    <xf numFmtId="10" fontId="0" fillId="0" borderId="0" xfId="0" applyNumberFormat="1"/>
    <xf numFmtId="9" fontId="9" fillId="0" borderId="0" xfId="0" applyNumberFormat="1" applyFont="1"/>
    <xf numFmtId="6" fontId="11" fillId="0" borderId="0" xfId="0" applyNumberFormat="1" applyFont="1"/>
    <xf numFmtId="166" fontId="11" fillId="0" borderId="0" xfId="0" applyNumberFormat="1" applyFont="1"/>
    <xf numFmtId="0" fontId="43" fillId="0" borderId="0" xfId="0" applyFont="1"/>
    <xf numFmtId="8" fontId="37" fillId="0" borderId="0" xfId="0" applyNumberFormat="1" applyFont="1"/>
    <xf numFmtId="0" fontId="44" fillId="0" borderId="0" xfId="0" applyFont="1"/>
    <xf numFmtId="9" fontId="8" fillId="0" borderId="0" xfId="0" applyNumberFormat="1" applyFont="1"/>
    <xf numFmtId="0" fontId="47" fillId="0" borderId="0" xfId="0" applyFont="1"/>
    <xf numFmtId="0" fontId="8" fillId="0" borderId="11" xfId="0" applyFont="1" applyBorder="1"/>
    <xf numFmtId="167" fontId="0" fillId="0" borderId="0" xfId="28" applyNumberFormat="1" applyFont="1"/>
    <xf numFmtId="0" fontId="41" fillId="0" borderId="0" xfId="0" applyFont="1"/>
    <xf numFmtId="0" fontId="8" fillId="0" borderId="12" xfId="0" applyFont="1" applyBorder="1"/>
    <xf numFmtId="0" fontId="0" fillId="0" borderId="12" xfId="0" applyBorder="1" applyAlignment="1" applyProtection="1">
      <alignment wrapText="1"/>
      <protection locked="0"/>
    </xf>
    <xf numFmtId="0" fontId="8" fillId="0" borderId="12" xfId="0" quotePrefix="1" applyFont="1" applyBorder="1" applyAlignment="1">
      <alignment horizontal="right" wrapText="1"/>
    </xf>
    <xf numFmtId="9" fontId="0" fillId="0" borderId="0" xfId="44" applyFont="1" applyFill="1" applyBorder="1"/>
    <xf numFmtId="6" fontId="31" fillId="0" borderId="10" xfId="0" applyNumberFormat="1" applyFont="1" applyBorder="1"/>
    <xf numFmtId="165" fontId="8" fillId="0" borderId="12" xfId="0" applyNumberFormat="1" applyFont="1" applyBorder="1"/>
    <xf numFmtId="0" fontId="11" fillId="0" borderId="14" xfId="0" applyFont="1" applyBorder="1"/>
    <xf numFmtId="0" fontId="8" fillId="0" borderId="10" xfId="0" applyFont="1" applyBorder="1"/>
    <xf numFmtId="0" fontId="10" fillId="0" borderId="0" xfId="0" applyFont="1" applyAlignment="1">
      <alignment wrapText="1"/>
    </xf>
    <xf numFmtId="0" fontId="8" fillId="27" borderId="34" xfId="0" applyFont="1" applyFill="1" applyBorder="1" applyAlignment="1" applyProtection="1">
      <alignment horizontal="center" vertical="center"/>
      <protection locked="0"/>
    </xf>
    <xf numFmtId="0" fontId="0" fillId="30" borderId="19" xfId="0" applyFill="1" applyBorder="1"/>
    <xf numFmtId="0" fontId="0" fillId="30" borderId="21" xfId="0" applyFill="1" applyBorder="1"/>
    <xf numFmtId="6" fontId="0" fillId="30" borderId="32" xfId="0" applyNumberFormat="1" applyFill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10" fontId="41" fillId="27" borderId="0" xfId="0" applyNumberFormat="1" applyFont="1" applyFill="1"/>
    <xf numFmtId="44" fontId="52" fillId="0" borderId="0" xfId="28" applyFont="1"/>
    <xf numFmtId="0" fontId="10" fillId="0" borderId="23" xfId="0" applyFont="1" applyBorder="1" applyAlignment="1">
      <alignment horizontal="center" vertical="center"/>
    </xf>
    <xf numFmtId="6" fontId="8" fillId="29" borderId="15" xfId="0" applyNumberFormat="1" applyFont="1" applyFill="1" applyBorder="1"/>
    <xf numFmtId="0" fontId="38" fillId="31" borderId="23" xfId="0" applyFont="1" applyFill="1" applyBorder="1"/>
    <xf numFmtId="0" fontId="0" fillId="31" borderId="24" xfId="0" applyFill="1" applyBorder="1"/>
    <xf numFmtId="0" fontId="8" fillId="31" borderId="19" xfId="0" applyFont="1" applyFill="1" applyBorder="1"/>
    <xf numFmtId="44" fontId="0" fillId="31" borderId="20" xfId="28" applyFont="1" applyFill="1" applyBorder="1"/>
    <xf numFmtId="0" fontId="10" fillId="31" borderId="19" xfId="0" applyFont="1" applyFill="1" applyBorder="1" applyAlignment="1">
      <alignment horizontal="right"/>
    </xf>
    <xf numFmtId="44" fontId="0" fillId="31" borderId="36" xfId="28" applyFont="1" applyFill="1" applyBorder="1"/>
    <xf numFmtId="3" fontId="0" fillId="0" borderId="12" xfId="0" applyNumberFormat="1" applyBorder="1"/>
    <xf numFmtId="0" fontId="8" fillId="0" borderId="37" xfId="0" applyFont="1" applyBorder="1"/>
    <xf numFmtId="6" fontId="31" fillId="0" borderId="19" xfId="0" applyNumberFormat="1" applyFont="1" applyBorder="1"/>
    <xf numFmtId="6" fontId="31" fillId="0" borderId="20" xfId="0" applyNumberFormat="1" applyFont="1" applyBorder="1"/>
    <xf numFmtId="0" fontId="10" fillId="0" borderId="38" xfId="0" applyFont="1" applyBorder="1"/>
    <xf numFmtId="9" fontId="10" fillId="0" borderId="15" xfId="44" applyFont="1" applyBorder="1"/>
    <xf numFmtId="0" fontId="10" fillId="32" borderId="0" xfId="0" applyFont="1" applyFill="1"/>
    <xf numFmtId="0" fontId="0" fillId="32" borderId="0" xfId="0" applyFill="1"/>
    <xf numFmtId="0" fontId="8" fillId="0" borderId="0" xfId="63"/>
    <xf numFmtId="0" fontId="47" fillId="0" borderId="0" xfId="63" applyFont="1"/>
    <xf numFmtId="0" fontId="35" fillId="0" borderId="0" xfId="63" applyFont="1" applyAlignment="1">
      <alignment horizontal="right"/>
    </xf>
    <xf numFmtId="0" fontId="11" fillId="0" borderId="0" xfId="63" applyFont="1" applyAlignment="1">
      <alignment horizontal="right"/>
    </xf>
    <xf numFmtId="0" fontId="35" fillId="0" borderId="0" xfId="63" applyFont="1" applyAlignment="1">
      <alignment horizontal="left"/>
    </xf>
    <xf numFmtId="0" fontId="10" fillId="25" borderId="0" xfId="63" applyFont="1" applyFill="1"/>
    <xf numFmtId="0" fontId="10" fillId="0" borderId="0" xfId="63" applyFont="1" applyAlignment="1">
      <alignment horizontal="right"/>
    </xf>
    <xf numFmtId="0" fontId="11" fillId="0" borderId="0" xfId="63" applyFont="1"/>
    <xf numFmtId="0" fontId="8" fillId="0" borderId="0" xfId="63" applyAlignment="1">
      <alignment wrapText="1"/>
    </xf>
    <xf numFmtId="0" fontId="10" fillId="0" borderId="0" xfId="63" applyFont="1"/>
    <xf numFmtId="0" fontId="10" fillId="0" borderId="0" xfId="63" applyFont="1" applyAlignment="1">
      <alignment horizontal="left"/>
    </xf>
    <xf numFmtId="0" fontId="38" fillId="0" borderId="0" xfId="63" applyFont="1"/>
    <xf numFmtId="6" fontId="8" fillId="0" borderId="0" xfId="63" applyNumberFormat="1"/>
    <xf numFmtId="0" fontId="8" fillId="0" borderId="0" xfId="63" applyAlignment="1">
      <alignment horizontal="left" vertical="top"/>
    </xf>
    <xf numFmtId="0" fontId="11" fillId="0" borderId="0" xfId="63" applyFont="1" applyAlignment="1">
      <alignment wrapText="1"/>
    </xf>
    <xf numFmtId="0" fontId="8" fillId="24" borderId="0" xfId="63" applyFill="1"/>
    <xf numFmtId="44" fontId="8" fillId="0" borderId="0" xfId="63" applyNumberFormat="1"/>
    <xf numFmtId="0" fontId="8" fillId="28" borderId="0" xfId="63" applyFill="1"/>
    <xf numFmtId="0" fontId="8" fillId="25" borderId="0" xfId="63" applyFill="1" applyAlignment="1">
      <alignment wrapText="1"/>
    </xf>
    <xf numFmtId="0" fontId="8" fillId="25" borderId="0" xfId="63" applyFill="1"/>
    <xf numFmtId="0" fontId="8" fillId="0" borderId="0" xfId="60" applyFont="1"/>
    <xf numFmtId="0" fontId="34" fillId="0" borderId="0" xfId="63" applyFont="1"/>
    <xf numFmtId="0" fontId="2" fillId="0" borderId="0" xfId="60"/>
    <xf numFmtId="0" fontId="34" fillId="0" borderId="0" xfId="63" applyFont="1" applyAlignment="1">
      <alignment horizontal="right"/>
    </xf>
    <xf numFmtId="165" fontId="8" fillId="0" borderId="0" xfId="63" applyNumberFormat="1" applyAlignment="1">
      <alignment wrapText="1"/>
    </xf>
    <xf numFmtId="164" fontId="8" fillId="0" borderId="0" xfId="63" applyNumberFormat="1"/>
    <xf numFmtId="1" fontId="8" fillId="0" borderId="0" xfId="63" applyNumberFormat="1"/>
    <xf numFmtId="8" fontId="8" fillId="0" borderId="0" xfId="63" applyNumberFormat="1"/>
    <xf numFmtId="9" fontId="8" fillId="0" borderId="0" xfId="63" applyNumberFormat="1"/>
    <xf numFmtId="0" fontId="10" fillId="0" borderId="0" xfId="63" applyFont="1" applyAlignment="1">
      <alignment wrapText="1"/>
    </xf>
    <xf numFmtId="165" fontId="10" fillId="0" borderId="12" xfId="63" applyNumberFormat="1" applyFont="1" applyBorder="1"/>
    <xf numFmtId="0" fontId="58" fillId="0" borderId="0" xfId="63" applyFont="1" applyAlignment="1">
      <alignment wrapText="1"/>
    </xf>
    <xf numFmtId="0" fontId="59" fillId="0" borderId="0" xfId="63" applyFont="1"/>
    <xf numFmtId="0" fontId="56" fillId="0" borderId="32" xfId="63" applyFont="1" applyBorder="1" applyAlignment="1">
      <alignment wrapText="1"/>
    </xf>
    <xf numFmtId="0" fontId="10" fillId="0" borderId="32" xfId="63" applyFont="1" applyBorder="1"/>
    <xf numFmtId="0" fontId="8" fillId="0" borderId="32" xfId="63" applyBorder="1"/>
    <xf numFmtId="0" fontId="56" fillId="0" borderId="0" xfId="63" applyFont="1" applyAlignment="1">
      <alignment wrapText="1"/>
    </xf>
    <xf numFmtId="0" fontId="35" fillId="0" borderId="0" xfId="63" applyFont="1" applyAlignment="1">
      <alignment horizontal="center"/>
    </xf>
    <xf numFmtId="169" fontId="8" fillId="0" borderId="0" xfId="61" applyNumberFormat="1" applyFont="1" applyBorder="1"/>
    <xf numFmtId="0" fontId="8" fillId="0" borderId="0" xfId="63" applyAlignment="1">
      <alignment horizontal="center"/>
    </xf>
    <xf numFmtId="43" fontId="8" fillId="0" borderId="12" xfId="61" applyFont="1" applyBorder="1"/>
    <xf numFmtId="0" fontId="8" fillId="0" borderId="12" xfId="63" applyBorder="1"/>
    <xf numFmtId="169" fontId="10" fillId="0" borderId="12" xfId="61" applyNumberFormat="1" applyFont="1" applyBorder="1"/>
    <xf numFmtId="165" fontId="8" fillId="0" borderId="0" xfId="63" applyNumberFormat="1"/>
    <xf numFmtId="10" fontId="8" fillId="0" borderId="0" xfId="63" applyNumberFormat="1"/>
    <xf numFmtId="165" fontId="10" fillId="0" borderId="0" xfId="63" applyNumberFormat="1" applyFont="1"/>
    <xf numFmtId="0" fontId="10" fillId="0" borderId="0" xfId="63" applyFont="1" applyAlignment="1">
      <alignment horizontal="right" wrapText="1"/>
    </xf>
    <xf numFmtId="10" fontId="10" fillId="0" borderId="12" xfId="63" applyNumberFormat="1" applyFont="1" applyBorder="1"/>
    <xf numFmtId="2" fontId="8" fillId="0" borderId="0" xfId="63" applyNumberFormat="1"/>
    <xf numFmtId="0" fontId="8" fillId="0" borderId="0" xfId="63" applyAlignment="1">
      <alignment horizontal="left" wrapText="1"/>
    </xf>
    <xf numFmtId="0" fontId="8" fillId="0" borderId="0" xfId="63" applyAlignment="1">
      <alignment horizontal="left"/>
    </xf>
    <xf numFmtId="0" fontId="60" fillId="0" borderId="32" xfId="63" applyFont="1" applyBorder="1" applyAlignment="1">
      <alignment wrapText="1"/>
    </xf>
    <xf numFmtId="0" fontId="46" fillId="0" borderId="32" xfId="63" applyFont="1" applyBorder="1"/>
    <xf numFmtId="0" fontId="46" fillId="0" borderId="0" xfId="63" applyFont="1"/>
    <xf numFmtId="165" fontId="10" fillId="0" borderId="0" xfId="63" applyNumberFormat="1" applyFont="1" applyAlignment="1">
      <alignment horizontal="right"/>
    </xf>
    <xf numFmtId="0" fontId="8" fillId="0" borderId="0" xfId="63" applyAlignment="1">
      <alignment horizontal="right"/>
    </xf>
    <xf numFmtId="0" fontId="38" fillId="0" borderId="0" xfId="0" applyFont="1"/>
    <xf numFmtId="165" fontId="8" fillId="0" borderId="17" xfId="0" applyNumberFormat="1" applyFont="1" applyBorder="1"/>
    <xf numFmtId="0" fontId="8" fillId="0" borderId="18" xfId="28" applyNumberFormat="1" applyFont="1" applyFill="1" applyBorder="1"/>
    <xf numFmtId="165" fontId="8" fillId="0" borderId="15" xfId="0" applyNumberFormat="1" applyFont="1" applyBorder="1"/>
    <xf numFmtId="0" fontId="8" fillId="0" borderId="13" xfId="28" applyNumberFormat="1" applyFont="1" applyFill="1" applyBorder="1"/>
    <xf numFmtId="165" fontId="8" fillId="0" borderId="10" xfId="0" applyNumberFormat="1" applyFont="1" applyBorder="1"/>
    <xf numFmtId="9" fontId="8" fillId="0" borderId="39" xfId="44" applyFont="1" applyFill="1" applyBorder="1"/>
    <xf numFmtId="165" fontId="8" fillId="29" borderId="0" xfId="0" applyNumberFormat="1" applyFont="1" applyFill="1"/>
    <xf numFmtId="165" fontId="8" fillId="0" borderId="0" xfId="0" applyNumberFormat="1" applyFont="1" applyAlignment="1">
      <alignment horizontal="right"/>
    </xf>
    <xf numFmtId="6" fontId="61" fillId="0" borderId="19" xfId="0" applyNumberFormat="1" applyFont="1" applyBorder="1"/>
    <xf numFmtId="6" fontId="61" fillId="0" borderId="20" xfId="0" applyNumberFormat="1" applyFont="1" applyBorder="1"/>
    <xf numFmtId="43" fontId="8" fillId="0" borderId="0" xfId="63" applyNumberFormat="1"/>
    <xf numFmtId="0" fontId="8" fillId="0" borderId="0" xfId="61" applyNumberFormat="1" applyFont="1" applyFill="1" applyBorder="1"/>
    <xf numFmtId="0" fontId="8" fillId="0" borderId="0" xfId="61" applyNumberFormat="1" applyFont="1" applyBorder="1"/>
    <xf numFmtId="164" fontId="52" fillId="0" borderId="11" xfId="28" applyNumberFormat="1" applyFont="1" applyBorder="1"/>
    <xf numFmtId="9" fontId="8" fillId="0" borderId="0" xfId="44" applyFont="1" applyFill="1" applyBorder="1"/>
    <xf numFmtId="9" fontId="0" fillId="0" borderId="0" xfId="44" applyFont="1" applyBorder="1"/>
    <xf numFmtId="0" fontId="62" fillId="0" borderId="0" xfId="0" applyFont="1"/>
    <xf numFmtId="0" fontId="10" fillId="0" borderId="11" xfId="0" applyFont="1" applyBorder="1" applyAlignment="1">
      <alignment wrapText="1"/>
    </xf>
    <xf numFmtId="8" fontId="0" fillId="0" borderId="11" xfId="0" applyNumberFormat="1" applyBorder="1"/>
    <xf numFmtId="167" fontId="10" fillId="0" borderId="11" xfId="28" applyNumberFormat="1" applyFont="1" applyFill="1" applyBorder="1" applyAlignment="1">
      <alignment horizontal="left" wrapText="1"/>
    </xf>
    <xf numFmtId="2" fontId="10" fillId="0" borderId="12" xfId="0" applyNumberFormat="1" applyFont="1" applyBorder="1"/>
    <xf numFmtId="0" fontId="0" fillId="33" borderId="19" xfId="0" applyFill="1" applyBorder="1"/>
    <xf numFmtId="0" fontId="0" fillId="33" borderId="21" xfId="0" applyFill="1" applyBorder="1"/>
    <xf numFmtId="6" fontId="0" fillId="33" borderId="32" xfId="0" applyNumberFormat="1" applyFill="1" applyBorder="1" applyAlignment="1">
      <alignment horizontal="center" vertical="center"/>
    </xf>
    <xf numFmtId="0" fontId="0" fillId="30" borderId="32" xfId="0" applyFill="1" applyBorder="1"/>
    <xf numFmtId="0" fontId="8" fillId="0" borderId="0" xfId="0" applyFont="1" applyAlignment="1">
      <alignment wrapText="1"/>
    </xf>
    <xf numFmtId="10" fontId="0" fillId="0" borderId="0" xfId="44" applyNumberFormat="1" applyFont="1"/>
    <xf numFmtId="164" fontId="0" fillId="0" borderId="0" xfId="44" applyNumberFormat="1" applyFont="1"/>
    <xf numFmtId="44" fontId="0" fillId="0" borderId="0" xfId="28" applyFont="1"/>
    <xf numFmtId="44" fontId="0" fillId="0" borderId="0" xfId="28" applyFont="1" applyFill="1" applyBorder="1"/>
    <xf numFmtId="0" fontId="0" fillId="28" borderId="0" xfId="0" applyFill="1" applyAlignment="1" applyProtection="1">
      <alignment vertical="center" wrapText="1"/>
      <protection locked="0"/>
    </xf>
    <xf numFmtId="0" fontId="8" fillId="28" borderId="0" xfId="0" quotePrefix="1" applyFont="1" applyFill="1" applyAlignment="1">
      <alignment horizontal="right" vertical="center" wrapText="1"/>
    </xf>
    <xf numFmtId="8" fontId="8" fillId="0" borderId="11" xfId="0" applyNumberFormat="1" applyFont="1" applyBorder="1" applyAlignment="1">
      <alignment vertical="center" wrapText="1"/>
    </xf>
    <xf numFmtId="6" fontId="8" fillId="0" borderId="11" xfId="0" applyNumberFormat="1" applyFont="1" applyBorder="1" applyAlignment="1">
      <alignment vertical="center"/>
    </xf>
    <xf numFmtId="165" fontId="0" fillId="0" borderId="11" xfId="0" applyNumberFormat="1" applyBorder="1" applyAlignment="1">
      <alignment vertical="center"/>
    </xf>
    <xf numFmtId="6" fontId="11" fillId="0" borderId="15" xfId="0" applyNumberFormat="1" applyFont="1" applyBorder="1"/>
    <xf numFmtId="0" fontId="10" fillId="0" borderId="10" xfId="0" applyFont="1" applyBorder="1" applyAlignment="1">
      <alignment wrapText="1"/>
    </xf>
    <xf numFmtId="8" fontId="0" fillId="0" borderId="10" xfId="0" applyNumberFormat="1" applyBorder="1"/>
    <xf numFmtId="8" fontId="10" fillId="0" borderId="10" xfId="0" applyNumberFormat="1" applyFont="1" applyBorder="1"/>
    <xf numFmtId="0" fontId="10" fillId="0" borderId="41" xfId="0" applyFont="1" applyBorder="1" applyAlignment="1">
      <alignment wrapText="1"/>
    </xf>
    <xf numFmtId="8" fontId="8" fillId="0" borderId="19" xfId="0" applyNumberFormat="1" applyFont="1" applyBorder="1"/>
    <xf numFmtId="0" fontId="0" fillId="0" borderId="22" xfId="0" applyBorder="1"/>
    <xf numFmtId="0" fontId="8" fillId="0" borderId="24" xfId="0" applyFont="1" applyBorder="1"/>
    <xf numFmtId="8" fontId="0" fillId="0" borderId="20" xfId="0" applyNumberFormat="1" applyBorder="1"/>
    <xf numFmtId="0" fontId="65" fillId="0" borderId="17" xfId="60" applyFont="1" applyBorder="1"/>
    <xf numFmtId="165" fontId="66" fillId="0" borderId="15" xfId="63" applyNumberFormat="1" applyFont="1" applyBorder="1" applyAlignment="1">
      <alignment wrapText="1"/>
    </xf>
    <xf numFmtId="0" fontId="66" fillId="0" borderId="0" xfId="63" applyFont="1"/>
    <xf numFmtId="165" fontId="66" fillId="0" borderId="40" xfId="63" applyNumberFormat="1" applyFont="1" applyBorder="1" applyAlignment="1">
      <alignment wrapText="1"/>
    </xf>
    <xf numFmtId="0" fontId="66" fillId="0" borderId="42" xfId="63" applyFont="1" applyBorder="1"/>
    <xf numFmtId="165" fontId="11" fillId="0" borderId="21" xfId="0" applyNumberFormat="1" applyFont="1" applyBorder="1" applyAlignment="1">
      <alignment horizontal="left" vertical="top" wrapText="1"/>
    </xf>
    <xf numFmtId="165" fontId="11" fillId="0" borderId="22" xfId="0" applyNumberFormat="1" applyFont="1" applyBorder="1" applyAlignment="1">
      <alignment horizontal="left" vertical="top" wrapText="1"/>
    </xf>
    <xf numFmtId="171" fontId="0" fillId="0" borderId="11" xfId="0" applyNumberFormat="1" applyBorder="1"/>
    <xf numFmtId="1" fontId="0" fillId="0" borderId="11" xfId="0" applyNumberFormat="1" applyBorder="1"/>
    <xf numFmtId="0" fontId="46" fillId="0" borderId="0" xfId="0" applyFont="1"/>
    <xf numFmtId="1" fontId="34" fillId="0" borderId="0" xfId="0" applyNumberFormat="1" applyFont="1"/>
    <xf numFmtId="0" fontId="8" fillId="34" borderId="0" xfId="63" applyFill="1"/>
    <xf numFmtId="0" fontId="8" fillId="0" borderId="0" xfId="63" quotePrefix="1"/>
    <xf numFmtId="0" fontId="8" fillId="0" borderId="0" xfId="63" applyAlignment="1">
      <alignment horizontal="center" wrapText="1"/>
    </xf>
    <xf numFmtId="8" fontId="8" fillId="28" borderId="0" xfId="63" applyNumberFormat="1" applyFill="1"/>
    <xf numFmtId="2" fontId="11" fillId="0" borderId="11" xfId="0" applyNumberFormat="1" applyFont="1" applyBorder="1"/>
    <xf numFmtId="0" fontId="46" fillId="0" borderId="0" xfId="0" applyFont="1" applyAlignment="1">
      <alignment horizontal="right"/>
    </xf>
    <xf numFmtId="1" fontId="41" fillId="0" borderId="0" xfId="0" applyNumberFormat="1" applyFont="1"/>
    <xf numFmtId="9" fontId="0" fillId="28" borderId="0" xfId="0" applyNumberFormat="1" applyFill="1"/>
    <xf numFmtId="165" fontId="8" fillId="0" borderId="43" xfId="0" applyNumberFormat="1" applyFont="1" applyBorder="1"/>
    <xf numFmtId="0" fontId="49" fillId="0" borderId="0" xfId="0" applyFont="1"/>
    <xf numFmtId="0" fontId="41" fillId="36" borderId="0" xfId="0" applyFont="1" applyFill="1"/>
    <xf numFmtId="168" fontId="46" fillId="36" borderId="0" xfId="0" applyNumberFormat="1" applyFont="1" applyFill="1"/>
    <xf numFmtId="172" fontId="41" fillId="36" borderId="0" xfId="0" applyNumberFormat="1" applyFont="1" applyFill="1"/>
    <xf numFmtId="0" fontId="10" fillId="0" borderId="31" xfId="0" applyFont="1" applyBorder="1" applyAlignment="1">
      <alignment horizontal="left" vertical="center"/>
    </xf>
    <xf numFmtId="0" fontId="0" fillId="33" borderId="31" xfId="0" applyFill="1" applyBorder="1"/>
    <xf numFmtId="0" fontId="0" fillId="33" borderId="32" xfId="0" applyFill="1" applyBorder="1"/>
    <xf numFmtId="0" fontId="10" fillId="33" borderId="31" xfId="0" applyFont="1" applyFill="1" applyBorder="1" applyAlignment="1">
      <alignment horizontal="center"/>
    </xf>
    <xf numFmtId="0" fontId="51" fillId="33" borderId="23" xfId="0" applyFont="1" applyFill="1" applyBorder="1"/>
    <xf numFmtId="44" fontId="0" fillId="0" borderId="0" xfId="0" applyNumberFormat="1"/>
    <xf numFmtId="165" fontId="8" fillId="0" borderId="0" xfId="63" applyNumberFormat="1" applyAlignment="1">
      <alignment horizontal="right"/>
    </xf>
    <xf numFmtId="9" fontId="8" fillId="27" borderId="0" xfId="63" applyNumberFormat="1" applyFill="1" applyAlignment="1">
      <alignment horizontal="right"/>
    </xf>
    <xf numFmtId="165" fontId="10" fillId="0" borderId="12" xfId="63" applyNumberFormat="1" applyFont="1" applyBorder="1" applyAlignment="1">
      <alignment horizontal="right"/>
    </xf>
    <xf numFmtId="44" fontId="8" fillId="0" borderId="0" xfId="28"/>
    <xf numFmtId="1" fontId="8" fillId="0" borderId="15" xfId="0" applyNumberFormat="1" applyFont="1" applyBorder="1"/>
    <xf numFmtId="164" fontId="10" fillId="0" borderId="12" xfId="63" applyNumberFormat="1" applyFont="1" applyBorder="1"/>
    <xf numFmtId="164" fontId="68" fillId="0" borderId="0" xfId="60" applyNumberFormat="1" applyFont="1"/>
    <xf numFmtId="164" fontId="44" fillId="0" borderId="0" xfId="63" applyNumberFormat="1" applyFont="1"/>
    <xf numFmtId="0" fontId="41" fillId="0" borderId="0" xfId="63" applyFont="1" applyAlignment="1">
      <alignment wrapText="1"/>
    </xf>
    <xf numFmtId="164" fontId="69" fillId="0" borderId="11" xfId="0" applyNumberFormat="1" applyFont="1" applyBorder="1"/>
    <xf numFmtId="0" fontId="69" fillId="0" borderId="11" xfId="0" applyFont="1" applyBorder="1"/>
    <xf numFmtId="0" fontId="69" fillId="0" borderId="0" xfId="0" applyFont="1"/>
    <xf numFmtId="0" fontId="70" fillId="0" borderId="11" xfId="0" applyFont="1" applyBorder="1"/>
    <xf numFmtId="164" fontId="69" fillId="0" borderId="0" xfId="0" applyNumberFormat="1" applyFont="1"/>
    <xf numFmtId="10" fontId="64" fillId="0" borderId="0" xfId="44" applyNumberFormat="1" applyFont="1"/>
    <xf numFmtId="9" fontId="64" fillId="0" borderId="0" xfId="44" applyFont="1"/>
    <xf numFmtId="0" fontId="44" fillId="0" borderId="0" xfId="63" applyFont="1"/>
    <xf numFmtId="0" fontId="70" fillId="0" borderId="0" xfId="0" applyFont="1"/>
    <xf numFmtId="0" fontId="70" fillId="27" borderId="11" xfId="0" applyFont="1" applyFill="1" applyBorder="1"/>
    <xf numFmtId="0" fontId="71" fillId="0" borderId="11" xfId="0" applyFont="1" applyBorder="1"/>
    <xf numFmtId="0" fontId="70" fillId="27" borderId="10" xfId="0" applyFont="1" applyFill="1" applyBorder="1"/>
    <xf numFmtId="0" fontId="8" fillId="28" borderId="0" xfId="0" applyFont="1" applyFill="1" applyProtection="1">
      <protection locked="0"/>
    </xf>
    <xf numFmtId="0" fontId="8" fillId="0" borderId="0" xfId="35" applyFont="1" applyAlignment="1" applyProtection="1"/>
    <xf numFmtId="9" fontId="0" fillId="24" borderId="0" xfId="0" applyNumberFormat="1" applyFill="1" applyAlignment="1">
      <alignment vertical="center"/>
    </xf>
    <xf numFmtId="0" fontId="10" fillId="0" borderId="31" xfId="0" applyFont="1" applyBorder="1" applyAlignment="1">
      <alignment wrapText="1"/>
    </xf>
    <xf numFmtId="0" fontId="8" fillId="0" borderId="0" xfId="0" applyFont="1" applyAlignment="1">
      <alignment horizontal="left" vertical="top" wrapText="1"/>
    </xf>
    <xf numFmtId="167" fontId="8" fillId="0" borderId="0" xfId="28" applyNumberFormat="1" applyFont="1" applyFill="1"/>
    <xf numFmtId="167" fontId="8" fillId="0" borderId="0" xfId="28" applyNumberFormat="1"/>
    <xf numFmtId="0" fontId="72" fillId="0" borderId="0" xfId="63" applyFont="1"/>
    <xf numFmtId="164" fontId="66" fillId="0" borderId="0" xfId="63" applyNumberFormat="1" applyFont="1"/>
    <xf numFmtId="164" fontId="66" fillId="0" borderId="12" xfId="63" applyNumberFormat="1" applyFont="1" applyBorder="1"/>
    <xf numFmtId="164" fontId="2" fillId="0" borderId="0" xfId="60" applyNumberFormat="1"/>
    <xf numFmtId="167" fontId="0" fillId="0" borderId="0" xfId="0" applyNumberFormat="1"/>
    <xf numFmtId="169" fontId="8" fillId="0" borderId="0" xfId="63" applyNumberFormat="1"/>
    <xf numFmtId="0" fontId="73" fillId="0" borderId="0" xfId="0" applyFont="1"/>
    <xf numFmtId="0" fontId="74" fillId="0" borderId="0" xfId="0" applyFont="1"/>
    <xf numFmtId="43" fontId="66" fillId="0" borderId="16" xfId="63" applyNumberFormat="1" applyFont="1" applyBorder="1"/>
    <xf numFmtId="164" fontId="11" fillId="0" borderId="0" xfId="63" applyNumberFormat="1" applyFont="1"/>
    <xf numFmtId="44" fontId="35" fillId="0" borderId="0" xfId="63" applyNumberFormat="1" applyFont="1"/>
    <xf numFmtId="167" fontId="11" fillId="0" borderId="0" xfId="28" applyNumberFormat="1" applyFont="1"/>
    <xf numFmtId="0" fontId="0" fillId="35" borderId="19" xfId="0" applyFill="1" applyBorder="1"/>
    <xf numFmtId="0" fontId="0" fillId="35" borderId="21" xfId="0" applyFill="1" applyBorder="1"/>
    <xf numFmtId="6" fontId="0" fillId="35" borderId="32" xfId="0" applyNumberFormat="1" applyFill="1" applyBorder="1" applyAlignment="1">
      <alignment horizontal="center" vertical="center"/>
    </xf>
    <xf numFmtId="0" fontId="8" fillId="35" borderId="31" xfId="63" applyFill="1" applyBorder="1"/>
    <xf numFmtId="0" fontId="8" fillId="35" borderId="19" xfId="63" applyFill="1" applyBorder="1"/>
    <xf numFmtId="0" fontId="8" fillId="35" borderId="21" xfId="63" applyFill="1" applyBorder="1"/>
    <xf numFmtId="0" fontId="8" fillId="35" borderId="32" xfId="63" applyFill="1" applyBorder="1"/>
    <xf numFmtId="6" fontId="8" fillId="35" borderId="32" xfId="63" applyNumberFormat="1" applyFill="1" applyBorder="1" applyAlignment="1">
      <alignment horizontal="center"/>
    </xf>
    <xf numFmtId="0" fontId="51" fillId="35" borderId="23" xfId="0" applyFont="1" applyFill="1" applyBorder="1" applyAlignment="1">
      <alignment horizontal="left"/>
    </xf>
    <xf numFmtId="0" fontId="0" fillId="35" borderId="31" xfId="0" applyFill="1" applyBorder="1"/>
    <xf numFmtId="0" fontId="10" fillId="35" borderId="31" xfId="0" applyFont="1" applyFill="1" applyBorder="1" applyAlignment="1">
      <alignment horizontal="center" vertical="center"/>
    </xf>
    <xf numFmtId="0" fontId="0" fillId="35" borderId="32" xfId="0" applyFill="1" applyBorder="1"/>
    <xf numFmtId="0" fontId="10" fillId="30" borderId="31" xfId="0" applyFont="1" applyFill="1" applyBorder="1" applyAlignment="1">
      <alignment horizontal="center"/>
    </xf>
    <xf numFmtId="0" fontId="64" fillId="0" borderId="0" xfId="63" applyFont="1"/>
    <xf numFmtId="0" fontId="42" fillId="0" borderId="11" xfId="0" applyFont="1" applyBorder="1" applyAlignment="1">
      <alignment vertical="center"/>
    </xf>
    <xf numFmtId="0" fontId="8" fillId="0" borderId="0" xfId="0" applyFont="1" applyAlignment="1">
      <alignment vertical="top" wrapText="1"/>
    </xf>
    <xf numFmtId="0" fontId="44" fillId="0" borderId="0" xfId="0" applyFont="1" applyAlignment="1">
      <alignment vertical="top" wrapText="1"/>
    </xf>
    <xf numFmtId="0" fontId="11" fillId="0" borderId="0" xfId="0" applyFont="1" applyAlignment="1">
      <alignment horizontal="right" vertical="top" wrapText="1"/>
    </xf>
    <xf numFmtId="1" fontId="11" fillId="0" borderId="11" xfId="0" applyNumberFormat="1" applyFont="1" applyBorder="1"/>
    <xf numFmtId="1" fontId="49" fillId="0" borderId="11" xfId="0" applyNumberFormat="1" applyFont="1" applyBorder="1"/>
    <xf numFmtId="165" fontId="11" fillId="0" borderId="0" xfId="0" applyNumberFormat="1" applyFont="1"/>
    <xf numFmtId="0" fontId="0" fillId="0" borderId="0" xfId="63" applyFont="1"/>
    <xf numFmtId="164" fontId="76" fillId="0" borderId="0" xfId="63" applyNumberFormat="1" applyFont="1"/>
    <xf numFmtId="174" fontId="76" fillId="0" borderId="0" xfId="63" applyNumberFormat="1" applyFont="1"/>
    <xf numFmtId="43" fontId="0" fillId="0" borderId="0" xfId="63" applyNumberFormat="1" applyFont="1"/>
    <xf numFmtId="173" fontId="44" fillId="0" borderId="0" xfId="63" applyNumberFormat="1" applyFont="1"/>
    <xf numFmtId="43" fontId="44" fillId="0" borderId="0" xfId="63" applyNumberFormat="1" applyFont="1"/>
    <xf numFmtId="2" fontId="44" fillId="0" borderId="0" xfId="65" applyNumberFormat="1" applyFont="1" applyBorder="1"/>
    <xf numFmtId="43" fontId="8" fillId="0" borderId="0" xfId="66" applyNumberFormat="1" applyFont="1" applyBorder="1"/>
    <xf numFmtId="0" fontId="10" fillId="27" borderId="11" xfId="0" applyFont="1" applyFill="1" applyBorder="1" applyAlignment="1">
      <alignment vertical="top" wrapText="1"/>
    </xf>
    <xf numFmtId="6" fontId="8" fillId="0" borderId="43" xfId="0" applyNumberFormat="1" applyFont="1" applyBorder="1"/>
    <xf numFmtId="165" fontId="52" fillId="0" borderId="11" xfId="28" applyNumberFormat="1" applyFont="1" applyBorder="1"/>
    <xf numFmtId="9" fontId="10" fillId="0" borderId="0" xfId="44" applyFont="1" applyBorder="1"/>
    <xf numFmtId="0" fontId="10" fillId="0" borderId="12" xfId="63" applyFont="1" applyBorder="1" applyAlignment="1">
      <alignment horizontal="right"/>
    </xf>
    <xf numFmtId="0" fontId="0" fillId="27" borderId="0" xfId="0" applyFill="1"/>
    <xf numFmtId="164" fontId="52" fillId="0" borderId="0" xfId="28" applyNumberFormat="1" applyFont="1" applyBorder="1"/>
    <xf numFmtId="0" fontId="8" fillId="27" borderId="0" xfId="0" applyFont="1" applyFill="1"/>
    <xf numFmtId="10" fontId="0" fillId="27" borderId="0" xfId="0" applyNumberFormat="1" applyFill="1"/>
    <xf numFmtId="44" fontId="0" fillId="27" borderId="0" xfId="28" applyFont="1" applyFill="1" applyBorder="1"/>
    <xf numFmtId="44" fontId="0" fillId="27" borderId="0" xfId="28" applyFont="1" applyFill="1"/>
    <xf numFmtId="0" fontId="38" fillId="28" borderId="0" xfId="0" applyFont="1" applyFill="1"/>
    <xf numFmtId="6" fontId="61" fillId="0" borderId="0" xfId="0" applyNumberFormat="1" applyFont="1"/>
    <xf numFmtId="8" fontId="8" fillId="28" borderId="28" xfId="0" applyNumberFormat="1" applyFont="1" applyFill="1" applyBorder="1"/>
    <xf numFmtId="44" fontId="10" fillId="0" borderId="12" xfId="28" applyFont="1" applyBorder="1"/>
    <xf numFmtId="165" fontId="52" fillId="0" borderId="44" xfId="28" applyNumberFormat="1" applyFont="1" applyFill="1" applyBorder="1" applyAlignment="1">
      <alignment horizontal="right" vertical="center" wrapText="1" readingOrder="1"/>
    </xf>
    <xf numFmtId="165" fontId="52" fillId="27" borderId="10" xfId="28" applyNumberFormat="1" applyFont="1" applyFill="1" applyBorder="1"/>
    <xf numFmtId="0" fontId="8" fillId="0" borderId="23" xfId="0" applyFont="1" applyBorder="1"/>
    <xf numFmtId="0" fontId="0" fillId="0" borderId="45" xfId="0" applyBorder="1"/>
    <xf numFmtId="0" fontId="0" fillId="0" borderId="31" xfId="0" applyBorder="1"/>
    <xf numFmtId="0" fontId="0" fillId="0" borderId="24" xfId="0" applyBorder="1"/>
    <xf numFmtId="0" fontId="8" fillId="0" borderId="19" xfId="0" applyFont="1" applyBorder="1"/>
    <xf numFmtId="0" fontId="0" fillId="0" borderId="20" xfId="0" applyBorder="1"/>
    <xf numFmtId="167" fontId="0" fillId="0" borderId="0" xfId="28" applyNumberFormat="1" applyFont="1" applyBorder="1"/>
    <xf numFmtId="0" fontId="0" fillId="0" borderId="19" xfId="0" applyBorder="1"/>
    <xf numFmtId="0" fontId="0" fillId="0" borderId="21" xfId="0" applyBorder="1"/>
    <xf numFmtId="167" fontId="0" fillId="0" borderId="32" xfId="0" applyNumberFormat="1" applyBorder="1"/>
    <xf numFmtId="0" fontId="0" fillId="0" borderId="32" xfId="0" applyBorder="1"/>
    <xf numFmtId="10" fontId="0" fillId="27" borderId="11" xfId="0" applyNumberFormat="1" applyFill="1" applyBorder="1"/>
    <xf numFmtId="0" fontId="10" fillId="39" borderId="11" xfId="0" applyFont="1" applyFill="1" applyBorder="1" applyAlignment="1">
      <alignment wrapText="1"/>
    </xf>
    <xf numFmtId="9" fontId="0" fillId="0" borderId="0" xfId="44" applyFont="1" applyFill="1"/>
    <xf numFmtId="44" fontId="0" fillId="0" borderId="0" xfId="28" applyFont="1" applyFill="1"/>
    <xf numFmtId="164" fontId="8" fillId="0" borderId="0" xfId="28" applyNumberFormat="1" applyFont="1"/>
    <xf numFmtId="10" fontId="8" fillId="27" borderId="11" xfId="0" applyNumberFormat="1" applyFont="1" applyFill="1" applyBorder="1"/>
    <xf numFmtId="2" fontId="11" fillId="0" borderId="0" xfId="0" applyNumberFormat="1" applyFont="1"/>
    <xf numFmtId="8" fontId="0" fillId="28" borderId="0" xfId="0" applyNumberFormat="1" applyFill="1"/>
    <xf numFmtId="164" fontId="8" fillId="0" borderId="0" xfId="0" applyNumberFormat="1" applyFont="1"/>
    <xf numFmtId="0" fontId="1" fillId="0" borderId="0" xfId="68"/>
    <xf numFmtId="0" fontId="10" fillId="0" borderId="0" xfId="68" applyFont="1" applyAlignment="1">
      <alignment horizontal="center" wrapText="1"/>
    </xf>
    <xf numFmtId="0" fontId="81" fillId="0" borderId="0" xfId="68" applyFont="1"/>
    <xf numFmtId="0" fontId="1" fillId="0" borderId="11" xfId="68" applyBorder="1"/>
    <xf numFmtId="9" fontId="0" fillId="0" borderId="0" xfId="69" applyFont="1"/>
    <xf numFmtId="44" fontId="0" fillId="41" borderId="0" xfId="70" applyFont="1" applyFill="1"/>
    <xf numFmtId="44" fontId="1" fillId="41" borderId="0" xfId="68" applyNumberFormat="1" applyFill="1"/>
    <xf numFmtId="44" fontId="1" fillId="42" borderId="0" xfId="68" applyNumberFormat="1" applyFill="1"/>
    <xf numFmtId="9" fontId="0" fillId="0" borderId="11" xfId="69" applyFont="1" applyBorder="1"/>
    <xf numFmtId="9" fontId="1" fillId="0" borderId="0" xfId="68" applyNumberFormat="1"/>
    <xf numFmtId="0" fontId="1" fillId="41" borderId="0" xfId="68" applyFill="1"/>
    <xf numFmtId="44" fontId="1" fillId="41" borderId="46" xfId="68" applyNumberFormat="1" applyFill="1" applyBorder="1"/>
    <xf numFmtId="2" fontId="0" fillId="27" borderId="11" xfId="69" applyNumberFormat="1" applyFont="1" applyFill="1" applyBorder="1"/>
    <xf numFmtId="9" fontId="0" fillId="27" borderId="11" xfId="69" applyFont="1" applyFill="1" applyBorder="1"/>
    <xf numFmtId="1" fontId="1" fillId="0" borderId="0" xfId="68" applyNumberFormat="1"/>
    <xf numFmtId="2" fontId="1" fillId="0" borderId="0" xfId="68" applyNumberFormat="1"/>
    <xf numFmtId="44" fontId="0" fillId="0" borderId="0" xfId="70" applyFont="1"/>
    <xf numFmtId="44" fontId="1" fillId="0" borderId="0" xfId="68" applyNumberFormat="1"/>
    <xf numFmtId="0" fontId="8" fillId="0" borderId="0" xfId="68" applyFont="1"/>
    <xf numFmtId="0" fontId="10" fillId="0" borderId="11" xfId="68" applyFont="1" applyBorder="1"/>
    <xf numFmtId="0" fontId="10" fillId="44" borderId="11" xfId="68" applyFont="1" applyFill="1" applyBorder="1" applyAlignment="1">
      <alignment wrapText="1"/>
    </xf>
    <xf numFmtId="0" fontId="10" fillId="45" borderId="11" xfId="68" applyFont="1" applyFill="1" applyBorder="1" applyAlignment="1">
      <alignment horizontal="center" wrapText="1"/>
    </xf>
    <xf numFmtId="0" fontId="10" fillId="46" borderId="11" xfId="68" applyFont="1" applyFill="1" applyBorder="1" applyAlignment="1">
      <alignment horizontal="center" vertical="center" wrapText="1"/>
    </xf>
    <xf numFmtId="0" fontId="10" fillId="47" borderId="10" xfId="68" applyFont="1" applyFill="1" applyBorder="1" applyAlignment="1">
      <alignment horizontal="center" vertical="center" wrapText="1"/>
    </xf>
    <xf numFmtId="0" fontId="10" fillId="0" borderId="11" xfId="68" applyFont="1" applyBorder="1" applyAlignment="1">
      <alignment wrapText="1"/>
    </xf>
    <xf numFmtId="0" fontId="8" fillId="48" borderId="11" xfId="68" applyFont="1" applyFill="1" applyBorder="1" applyAlignment="1">
      <alignment horizontal="right"/>
    </xf>
    <xf numFmtId="167" fontId="8" fillId="0" borderId="11" xfId="70" applyNumberFormat="1" applyFont="1" applyBorder="1"/>
    <xf numFmtId="167" fontId="8" fillId="44" borderId="11" xfId="70" applyNumberFormat="1" applyFont="1" applyFill="1" applyBorder="1"/>
    <xf numFmtId="167" fontId="8" fillId="45" borderId="11" xfId="70" applyNumberFormat="1" applyFont="1" applyFill="1" applyBorder="1"/>
    <xf numFmtId="167" fontId="8" fillId="46" borderId="11" xfId="70" applyNumberFormat="1" applyFont="1" applyFill="1" applyBorder="1"/>
    <xf numFmtId="167" fontId="8" fillId="47" borderId="11" xfId="70" applyNumberFormat="1" applyFont="1" applyFill="1" applyBorder="1"/>
    <xf numFmtId="0" fontId="37" fillId="0" borderId="11" xfId="68" applyFont="1" applyBorder="1" applyAlignment="1">
      <alignment horizontal="right"/>
    </xf>
    <xf numFmtId="0" fontId="8" fillId="0" borderId="11" xfId="68" applyFont="1" applyBorder="1" applyAlignment="1">
      <alignment horizontal="right"/>
    </xf>
    <xf numFmtId="0" fontId="10" fillId="0" borderId="11" xfId="68" applyFont="1" applyBorder="1" applyAlignment="1">
      <alignment horizontal="left" wrapText="1"/>
    </xf>
    <xf numFmtId="0" fontId="1" fillId="41" borderId="11" xfId="68" applyFill="1" applyBorder="1"/>
    <xf numFmtId="0" fontId="1" fillId="42" borderId="11" xfId="68" applyFill="1" applyBorder="1"/>
    <xf numFmtId="0" fontId="1" fillId="43" borderId="11" xfId="68" applyFill="1" applyBorder="1"/>
    <xf numFmtId="167" fontId="1" fillId="0" borderId="11" xfId="68" applyNumberFormat="1" applyBorder="1"/>
    <xf numFmtId="167" fontId="1" fillId="41" borderId="11" xfId="68" applyNumberFormat="1" applyFill="1" applyBorder="1"/>
    <xf numFmtId="167" fontId="0" fillId="42" borderId="11" xfId="70" applyNumberFormat="1" applyFont="1" applyFill="1" applyBorder="1"/>
    <xf numFmtId="44" fontId="1" fillId="0" borderId="11" xfId="68" applyNumberFormat="1" applyBorder="1"/>
    <xf numFmtId="0" fontId="81" fillId="0" borderId="0" xfId="68" applyFont="1" applyAlignment="1">
      <alignment wrapText="1"/>
    </xf>
    <xf numFmtId="0" fontId="1" fillId="0" borderId="0" xfId="68" applyAlignment="1">
      <alignment wrapText="1"/>
    </xf>
    <xf numFmtId="0" fontId="1" fillId="32" borderId="0" xfId="68" applyFill="1" applyAlignment="1">
      <alignment horizontal="center" vertical="center"/>
    </xf>
    <xf numFmtId="0" fontId="1" fillId="32" borderId="0" xfId="68" applyFill="1" applyAlignment="1">
      <alignment horizontal="center" wrapText="1"/>
    </xf>
    <xf numFmtId="0" fontId="1" fillId="32" borderId="0" xfId="68" applyFill="1" applyAlignment="1">
      <alignment horizontal="center" vertical="center" wrapText="1"/>
    </xf>
    <xf numFmtId="0" fontId="1" fillId="32" borderId="0" xfId="68" applyFill="1" applyAlignment="1">
      <alignment horizontal="center"/>
    </xf>
    <xf numFmtId="0" fontId="1" fillId="32" borderId="47" xfId="68" applyFill="1" applyBorder="1" applyAlignment="1">
      <alignment horizontal="center" vertical="center" wrapText="1"/>
    </xf>
    <xf numFmtId="0" fontId="1" fillId="32" borderId="0" xfId="68" applyFill="1"/>
    <xf numFmtId="9" fontId="1" fillId="32" borderId="0" xfId="68" applyNumberFormat="1" applyFill="1" applyAlignment="1">
      <alignment horizontal="center"/>
    </xf>
    <xf numFmtId="9" fontId="1" fillId="32" borderId="48" xfId="68" applyNumberFormat="1" applyFill="1" applyBorder="1" applyAlignment="1">
      <alignment horizontal="center"/>
    </xf>
    <xf numFmtId="9" fontId="1" fillId="32" borderId="49" xfId="68" applyNumberFormat="1" applyFill="1" applyBorder="1" applyAlignment="1">
      <alignment horizontal="center"/>
    </xf>
    <xf numFmtId="9" fontId="53" fillId="0" borderId="11" xfId="0" applyNumberFormat="1" applyFont="1" applyBorder="1"/>
    <xf numFmtId="164" fontId="52" fillId="0" borderId="42" xfId="28" applyNumberFormat="1" applyFont="1" applyBorder="1"/>
    <xf numFmtId="164" fontId="52" fillId="0" borderId="14" xfId="28" applyNumberFormat="1" applyFont="1" applyBorder="1"/>
    <xf numFmtId="164" fontId="53" fillId="0" borderId="50" xfId="28" applyNumberFormat="1" applyFont="1" applyFill="1" applyBorder="1" applyAlignment="1">
      <alignment horizontal="right" vertical="center" wrapText="1" readingOrder="1"/>
    </xf>
    <xf numFmtId="164" fontId="52" fillId="0" borderId="51" xfId="28" applyNumberFormat="1" applyFont="1" applyBorder="1"/>
    <xf numFmtId="164" fontId="52" fillId="0" borderId="52" xfId="28" applyNumberFormat="1" applyFont="1" applyFill="1" applyBorder="1" applyAlignment="1">
      <alignment horizontal="right"/>
    </xf>
    <xf numFmtId="164" fontId="52" fillId="0" borderId="53" xfId="28" applyNumberFormat="1" applyFont="1" applyBorder="1"/>
    <xf numFmtId="0" fontId="69" fillId="0" borderId="42" xfId="0" applyFont="1" applyBorder="1"/>
    <xf numFmtId="0" fontId="70" fillId="0" borderId="54" xfId="0" applyFont="1" applyBorder="1"/>
    <xf numFmtId="0" fontId="69" fillId="0" borderId="55" xfId="0" applyFont="1" applyBorder="1"/>
    <xf numFmtId="0" fontId="69" fillId="0" borderId="14" xfId="0" applyFont="1" applyBorder="1"/>
    <xf numFmtId="164" fontId="52" fillId="0" borderId="14" xfId="28" applyNumberFormat="1" applyFont="1" applyFill="1" applyBorder="1"/>
    <xf numFmtId="167" fontId="0" fillId="0" borderId="0" xfId="28" applyNumberFormat="1" applyFont="1" applyFill="1"/>
    <xf numFmtId="164" fontId="52" fillId="0" borderId="11" xfId="28" applyNumberFormat="1" applyFont="1" applyFill="1" applyBorder="1"/>
    <xf numFmtId="0" fontId="70" fillId="0" borderId="14" xfId="0" applyFont="1" applyBorder="1"/>
    <xf numFmtId="164" fontId="52" fillId="0" borderId="0" xfId="28" applyNumberFormat="1" applyFont="1" applyFill="1" applyBorder="1"/>
    <xf numFmtId="164" fontId="52" fillId="0" borderId="11" xfId="0" applyNumberFormat="1" applyFont="1" applyBorder="1"/>
    <xf numFmtId="164" fontId="52" fillId="0" borderId="35" xfId="28" applyNumberFormat="1" applyFont="1" applyFill="1" applyBorder="1" applyAlignment="1">
      <alignment horizontal="right" vertical="center" wrapText="1" readingOrder="1"/>
    </xf>
    <xf numFmtId="164" fontId="52" fillId="0" borderId="11" xfId="0" applyNumberFormat="1" applyFont="1" applyBorder="1" applyAlignment="1">
      <alignment horizontal="right"/>
    </xf>
    <xf numFmtId="6" fontId="8" fillId="0" borderId="17" xfId="0" applyNumberFormat="1" applyFont="1" applyBorder="1"/>
    <xf numFmtId="6" fontId="0" fillId="0" borderId="40" xfId="0" applyNumberFormat="1" applyBorder="1"/>
    <xf numFmtId="0" fontId="8" fillId="0" borderId="15" xfId="0" applyFont="1" applyBorder="1" applyAlignment="1">
      <alignment horizontal="center"/>
    </xf>
    <xf numFmtId="0" fontId="8" fillId="0" borderId="0" xfId="0" applyFont="1" applyAlignment="1">
      <alignment horizontal="center"/>
    </xf>
    <xf numFmtId="6" fontId="8" fillId="0" borderId="15" xfId="0" applyNumberFormat="1" applyFont="1" applyBorder="1"/>
    <xf numFmtId="167" fontId="0" fillId="0" borderId="0" xfId="28" applyNumberFormat="1" applyFont="1" applyFill="1" applyBorder="1"/>
    <xf numFmtId="44" fontId="8" fillId="0" borderId="0" xfId="28" applyFont="1"/>
    <xf numFmtId="2" fontId="11" fillId="33" borderId="11" xfId="0" applyNumberFormat="1" applyFont="1" applyFill="1" applyBorder="1"/>
    <xf numFmtId="0" fontId="8" fillId="33" borderId="11" xfId="0" applyFont="1" applyFill="1" applyBorder="1"/>
    <xf numFmtId="164" fontId="8" fillId="33" borderId="11" xfId="0" applyNumberFormat="1" applyFont="1" applyFill="1" applyBorder="1"/>
    <xf numFmtId="44" fontId="8" fillId="0" borderId="0" xfId="0" applyNumberFormat="1" applyFont="1"/>
    <xf numFmtId="6" fontId="0" fillId="0" borderId="0" xfId="28" applyNumberFormat="1" applyFont="1" applyFill="1" applyBorder="1"/>
    <xf numFmtId="165" fontId="69" fillId="27" borderId="11" xfId="0" applyNumberFormat="1" applyFont="1" applyFill="1" applyBorder="1"/>
    <xf numFmtId="0" fontId="0" fillId="27" borderId="11" xfId="0" applyFill="1" applyBorder="1"/>
    <xf numFmtId="0" fontId="8" fillId="27" borderId="11" xfId="0" applyFont="1" applyFill="1" applyBorder="1"/>
    <xf numFmtId="44" fontId="69" fillId="0" borderId="0" xfId="28" applyFont="1"/>
    <xf numFmtId="0" fontId="38" fillId="49" borderId="23" xfId="0" applyFont="1" applyFill="1" applyBorder="1"/>
    <xf numFmtId="0" fontId="8" fillId="49" borderId="24" xfId="0" applyFont="1" applyFill="1" applyBorder="1"/>
    <xf numFmtId="0" fontId="8" fillId="49" borderId="19" xfId="0" applyFont="1" applyFill="1" applyBorder="1"/>
    <xf numFmtId="0" fontId="8" fillId="49" borderId="20" xfId="0" applyFont="1" applyFill="1" applyBorder="1"/>
    <xf numFmtId="0" fontId="10" fillId="49" borderId="19" xfId="0" applyFont="1" applyFill="1" applyBorder="1"/>
    <xf numFmtId="0" fontId="11" fillId="49" borderId="19" xfId="0" applyFont="1" applyFill="1" applyBorder="1"/>
    <xf numFmtId="167" fontId="8" fillId="49" borderId="20" xfId="28" applyNumberFormat="1" applyFont="1" applyFill="1" applyBorder="1"/>
    <xf numFmtId="167" fontId="11" fillId="49" borderId="20" xfId="28" applyNumberFormat="1" applyFont="1" applyFill="1" applyBorder="1"/>
    <xf numFmtId="0" fontId="10" fillId="49" borderId="56" xfId="0" applyFont="1" applyFill="1" applyBorder="1"/>
    <xf numFmtId="167" fontId="10" fillId="49" borderId="36" xfId="28" applyNumberFormat="1" applyFont="1" applyFill="1" applyBorder="1"/>
    <xf numFmtId="0" fontId="11" fillId="49" borderId="57" xfId="0" applyFont="1" applyFill="1" applyBorder="1" applyAlignment="1">
      <alignment horizontal="left" wrapText="1"/>
    </xf>
    <xf numFmtId="167" fontId="11" fillId="49" borderId="20" xfId="0" applyNumberFormat="1" applyFont="1" applyFill="1" applyBorder="1" applyAlignment="1">
      <alignment vertical="center"/>
    </xf>
    <xf numFmtId="0" fontId="8" fillId="49" borderId="21" xfId="0" applyFont="1" applyFill="1" applyBorder="1"/>
    <xf numFmtId="9" fontId="8" fillId="49" borderId="22" xfId="44" applyFont="1" applyFill="1" applyBorder="1"/>
    <xf numFmtId="175" fontId="8" fillId="49" borderId="20" xfId="0" applyNumberFormat="1" applyFont="1" applyFill="1" applyBorder="1" applyAlignment="1">
      <alignment horizontal="center"/>
    </xf>
    <xf numFmtId="6" fontId="41" fillId="0" borderId="0" xfId="0" applyNumberFormat="1" applyFont="1"/>
    <xf numFmtId="164" fontId="41" fillId="0" borderId="0" xfId="28" applyNumberFormat="1" applyFont="1" applyFill="1" applyBorder="1"/>
    <xf numFmtId="0" fontId="0" fillId="0" borderId="11" xfId="0" applyBorder="1"/>
    <xf numFmtId="165" fontId="52" fillId="0" borderId="17" xfId="28" applyNumberFormat="1" applyFont="1" applyFill="1" applyBorder="1"/>
    <xf numFmtId="165" fontId="52" fillId="27" borderId="58" xfId="28" applyNumberFormat="1" applyFont="1" applyFill="1" applyBorder="1" applyAlignment="1">
      <alignment horizontal="right" vertical="center" wrapText="1" readingOrder="1"/>
    </xf>
    <xf numFmtId="165" fontId="52" fillId="27" borderId="11" xfId="28" applyNumberFormat="1" applyFont="1" applyFill="1" applyBorder="1" applyAlignment="1">
      <alignment horizontal="right" vertical="center" wrapText="1" readingOrder="1"/>
    </xf>
    <xf numFmtId="0" fontId="0" fillId="50" borderId="31" xfId="0" applyFill="1" applyBorder="1"/>
    <xf numFmtId="0" fontId="0" fillId="50" borderId="24" xfId="0" applyFill="1" applyBorder="1"/>
    <xf numFmtId="0" fontId="0" fillId="50" borderId="20" xfId="0" applyFill="1" applyBorder="1"/>
    <xf numFmtId="165" fontId="52" fillId="50" borderId="11" xfId="28" applyNumberFormat="1" applyFont="1" applyFill="1" applyBorder="1"/>
    <xf numFmtId="44" fontId="10" fillId="0" borderId="15" xfId="0" applyNumberFormat="1" applyFont="1" applyBorder="1"/>
    <xf numFmtId="0" fontId="39" fillId="0" borderId="0" xfId="0" applyFont="1"/>
    <xf numFmtId="0" fontId="39" fillId="0" borderId="0" xfId="0" applyFont="1" applyAlignment="1">
      <alignment horizontal="center" wrapText="1"/>
    </xf>
    <xf numFmtId="0" fontId="11" fillId="35" borderId="19" xfId="0" applyFont="1" applyFill="1" applyBorder="1"/>
    <xf numFmtId="9" fontId="86" fillId="0" borderId="0" xfId="44" applyFont="1" applyAlignment="1">
      <alignment vertical="center"/>
    </xf>
    <xf numFmtId="167" fontId="61" fillId="0" borderId="0" xfId="28" quotePrefix="1" applyNumberFormat="1" applyFont="1" applyFill="1" applyAlignment="1">
      <alignment vertical="center"/>
    </xf>
    <xf numFmtId="9" fontId="61" fillId="0" borderId="0" xfId="44" applyFont="1" applyAlignment="1">
      <alignment vertical="center"/>
    </xf>
    <xf numFmtId="167" fontId="0" fillId="35" borderId="20" xfId="0" applyNumberFormat="1" applyFill="1" applyBorder="1"/>
    <xf numFmtId="0" fontId="8" fillId="49" borderId="57" xfId="0" applyFont="1" applyFill="1" applyBorder="1"/>
    <xf numFmtId="167" fontId="8" fillId="49" borderId="60" xfId="28" applyNumberFormat="1" applyFont="1" applyFill="1" applyBorder="1"/>
    <xf numFmtId="167" fontId="10" fillId="49" borderId="20" xfId="28" applyNumberFormat="1" applyFont="1" applyFill="1" applyBorder="1"/>
    <xf numFmtId="0" fontId="10" fillId="49" borderId="61" xfId="0" applyFont="1" applyFill="1" applyBorder="1"/>
    <xf numFmtId="167" fontId="10" fillId="49" borderId="62" xfId="0" applyNumberFormat="1" applyFont="1" applyFill="1" applyBorder="1"/>
    <xf numFmtId="0" fontId="8" fillId="49" borderId="63" xfId="0" applyFont="1" applyFill="1" applyBorder="1"/>
    <xf numFmtId="167" fontId="8" fillId="49" borderId="64" xfId="28" applyNumberFormat="1" applyFont="1" applyFill="1" applyBorder="1"/>
    <xf numFmtId="167" fontId="10" fillId="49" borderId="62" xfId="28" applyNumberFormat="1" applyFont="1" applyFill="1" applyBorder="1"/>
    <xf numFmtId="0" fontId="8" fillId="49" borderId="36" xfId="0" applyFont="1" applyFill="1" applyBorder="1"/>
    <xf numFmtId="0" fontId="10" fillId="49" borderId="57" xfId="0" applyFont="1" applyFill="1" applyBorder="1" applyAlignment="1">
      <alignment horizontal="left" vertical="top" wrapText="1"/>
    </xf>
    <xf numFmtId="167" fontId="10" fillId="49" borderId="60" xfId="28" applyNumberFormat="1" applyFont="1" applyFill="1" applyBorder="1" applyAlignment="1">
      <alignment horizontal="left" vertical="center"/>
    </xf>
    <xf numFmtId="164" fontId="55" fillId="0" borderId="11" xfId="28" applyNumberFormat="1" applyFont="1" applyBorder="1"/>
    <xf numFmtId="164" fontId="55" fillId="0" borderId="11" xfId="0" applyNumberFormat="1" applyFont="1" applyBorder="1"/>
    <xf numFmtId="164" fontId="37" fillId="0" borderId="0" xfId="0" applyNumberFormat="1" applyFont="1"/>
    <xf numFmtId="9" fontId="11" fillId="0" borderId="15" xfId="44" applyFont="1" applyBorder="1"/>
    <xf numFmtId="9" fontId="8" fillId="0" borderId="0" xfId="44"/>
    <xf numFmtId="44" fontId="10" fillId="0" borderId="12" xfId="28" applyFont="1" applyBorder="1" applyAlignment="1">
      <alignment horizontal="left"/>
    </xf>
    <xf numFmtId="173" fontId="8" fillId="0" borderId="0" xfId="63" applyNumberFormat="1"/>
    <xf numFmtId="164" fontId="8" fillId="0" borderId="0" xfId="63" applyNumberFormat="1" applyAlignment="1">
      <alignment horizontal="right"/>
    </xf>
    <xf numFmtId="5" fontId="8" fillId="0" borderId="0" xfId="63" applyNumberFormat="1"/>
    <xf numFmtId="9" fontId="8" fillId="0" borderId="0" xfId="44" applyBorder="1"/>
    <xf numFmtId="44" fontId="8" fillId="0" borderId="0" xfId="28" applyFill="1" applyBorder="1" applyAlignment="1">
      <alignment horizontal="left"/>
    </xf>
    <xf numFmtId="167" fontId="8" fillId="0" borderId="0" xfId="28" applyNumberFormat="1" applyFont="1" applyFill="1" applyBorder="1"/>
    <xf numFmtId="0" fontId="67" fillId="0" borderId="0" xfId="60" applyFont="1"/>
    <xf numFmtId="173" fontId="2" fillId="0" borderId="0" xfId="60" applyNumberFormat="1"/>
    <xf numFmtId="0" fontId="10" fillId="0" borderId="12" xfId="63" applyFont="1" applyBorder="1"/>
    <xf numFmtId="0" fontId="8" fillId="0" borderId="12" xfId="63" applyBorder="1" applyAlignment="1">
      <alignment wrapText="1"/>
    </xf>
    <xf numFmtId="44" fontId="8" fillId="0" borderId="0" xfId="28" applyFont="1" applyBorder="1"/>
    <xf numFmtId="0" fontId="57" fillId="30" borderId="0" xfId="60" applyFont="1" applyFill="1" applyAlignment="1">
      <alignment horizontal="right"/>
    </xf>
    <xf numFmtId="0" fontId="8" fillId="0" borderId="11" xfId="0" applyFont="1" applyBorder="1" applyAlignment="1">
      <alignment vertical="top"/>
    </xf>
    <xf numFmtId="44" fontId="0" fillId="0" borderId="43" xfId="28" applyFont="1" applyFill="1" applyBorder="1"/>
    <xf numFmtId="169" fontId="8" fillId="0" borderId="0" xfId="61" applyNumberFormat="1" applyFont="1" applyFill="1" applyBorder="1" applyAlignment="1">
      <alignment horizontal="right"/>
    </xf>
    <xf numFmtId="44" fontId="87" fillId="0" borderId="0" xfId="60" applyNumberFormat="1" applyFont="1"/>
    <xf numFmtId="0" fontId="0" fillId="0" borderId="17" xfId="0" applyBorder="1"/>
    <xf numFmtId="6" fontId="0" fillId="0" borderId="33" xfId="0" applyNumberFormat="1" applyBorder="1"/>
    <xf numFmtId="0" fontId="0" fillId="33" borderId="11" xfId="0" applyFill="1" applyBorder="1"/>
    <xf numFmtId="0" fontId="11" fillId="33" borderId="0" xfId="0" applyFont="1" applyFill="1" applyAlignment="1">
      <alignment horizontal="right"/>
    </xf>
    <xf numFmtId="6" fontId="0" fillId="0" borderId="43" xfId="28" applyNumberFormat="1" applyFont="1" applyFill="1" applyBorder="1"/>
    <xf numFmtId="0" fontId="0" fillId="28" borderId="42" xfId="0" applyFill="1" applyBorder="1"/>
    <xf numFmtId="9" fontId="8" fillId="0" borderId="0" xfId="44" applyFill="1" applyBorder="1"/>
    <xf numFmtId="6" fontId="8" fillId="0" borderId="0" xfId="63" applyNumberFormat="1" applyAlignment="1">
      <alignment horizontal="center"/>
    </xf>
    <xf numFmtId="165" fontId="52" fillId="50" borderId="53" xfId="28" applyNumberFormat="1" applyFont="1" applyFill="1" applyBorder="1"/>
    <xf numFmtId="0" fontId="10" fillId="0" borderId="65" xfId="0" applyFont="1" applyBorder="1" applyAlignment="1">
      <alignment wrapText="1"/>
    </xf>
    <xf numFmtId="0" fontId="10" fillId="0" borderId="11" xfId="0" applyFont="1" applyBorder="1"/>
    <xf numFmtId="0" fontId="10" fillId="0" borderId="11" xfId="0" applyFont="1" applyBorder="1" applyAlignment="1">
      <alignment horizontal="center"/>
    </xf>
    <xf numFmtId="0" fontId="0" fillId="0" borderId="0" xfId="0" applyAlignment="1">
      <alignment vertical="center"/>
    </xf>
    <xf numFmtId="175" fontId="11" fillId="51" borderId="38" xfId="0" applyNumberFormat="1" applyFont="1" applyFill="1" applyBorder="1" applyAlignment="1">
      <alignment horizontal="center"/>
    </xf>
    <xf numFmtId="9" fontId="8" fillId="51" borderId="20" xfId="44" applyFont="1" applyFill="1" applyBorder="1" applyAlignment="1">
      <alignment horizontal="center"/>
    </xf>
    <xf numFmtId="167" fontId="11" fillId="51" borderId="20" xfId="28" applyNumberFormat="1" applyFont="1" applyFill="1" applyBorder="1" applyAlignment="1">
      <alignment horizontal="center"/>
    </xf>
    <xf numFmtId="167" fontId="8" fillId="51" borderId="20" xfId="28" applyNumberFormat="1" applyFont="1" applyFill="1" applyBorder="1" applyAlignment="1">
      <alignment horizontal="center"/>
    </xf>
    <xf numFmtId="166" fontId="8" fillId="49" borderId="20" xfId="0" applyNumberFormat="1" applyFont="1" applyFill="1" applyBorder="1" applyAlignment="1">
      <alignment horizontal="center" vertical="center" wrapText="1"/>
    </xf>
    <xf numFmtId="9" fontId="8" fillId="51" borderId="22" xfId="28" applyNumberFormat="1" applyFont="1" applyFill="1" applyBorder="1" applyAlignment="1">
      <alignment horizontal="center"/>
    </xf>
    <xf numFmtId="9" fontId="10" fillId="51" borderId="36" xfId="44" applyFont="1" applyFill="1" applyBorder="1" applyAlignment="1">
      <alignment horizontal="center"/>
    </xf>
    <xf numFmtId="0" fontId="8" fillId="50" borderId="40" xfId="0" applyFont="1" applyFill="1" applyBorder="1"/>
    <xf numFmtId="164" fontId="69" fillId="50" borderId="11" xfId="0" applyNumberFormat="1" applyFont="1" applyFill="1" applyBorder="1"/>
    <xf numFmtId="164" fontId="69" fillId="50" borderId="59" xfId="0" applyNumberFormat="1" applyFont="1" applyFill="1" applyBorder="1"/>
    <xf numFmtId="164" fontId="69" fillId="50" borderId="53" xfId="0" applyNumberFormat="1" applyFont="1" applyFill="1" applyBorder="1"/>
    <xf numFmtId="164" fontId="69" fillId="50" borderId="67" xfId="0" applyNumberFormat="1" applyFont="1" applyFill="1" applyBorder="1"/>
    <xf numFmtId="0" fontId="89" fillId="50" borderId="40" xfId="0" applyFont="1" applyFill="1" applyBorder="1" applyAlignment="1">
      <alignment horizontal="center"/>
    </xf>
    <xf numFmtId="0" fontId="89" fillId="50" borderId="65" xfId="0" applyFont="1" applyFill="1" applyBorder="1" applyAlignment="1">
      <alignment horizontal="center"/>
    </xf>
    <xf numFmtId="0" fontId="89" fillId="50" borderId="62" xfId="0" applyFont="1" applyFill="1" applyBorder="1" applyAlignment="1">
      <alignment horizontal="center"/>
    </xf>
    <xf numFmtId="0" fontId="44" fillId="50" borderId="43" xfId="0" applyFont="1" applyFill="1" applyBorder="1"/>
    <xf numFmtId="0" fontId="11" fillId="50" borderId="11" xfId="63" applyFont="1" applyFill="1" applyBorder="1" applyAlignment="1">
      <alignment horizontal="center"/>
    </xf>
    <xf numFmtId="0" fontId="8" fillId="50" borderId="68" xfId="0" applyFont="1" applyFill="1" applyBorder="1"/>
    <xf numFmtId="0" fontId="8" fillId="50" borderId="31" xfId="0" applyFont="1" applyFill="1" applyBorder="1"/>
    <xf numFmtId="0" fontId="8" fillId="50" borderId="24" xfId="0" applyFont="1" applyFill="1" applyBorder="1"/>
    <xf numFmtId="0" fontId="8" fillId="28" borderId="11" xfId="0" applyFont="1" applyFill="1" applyBorder="1"/>
    <xf numFmtId="0" fontId="8" fillId="50" borderId="43" xfId="0" applyFont="1" applyFill="1" applyBorder="1"/>
    <xf numFmtId="0" fontId="8" fillId="50" borderId="62" xfId="0" applyFont="1" applyFill="1" applyBorder="1"/>
    <xf numFmtId="0" fontId="11" fillId="50" borderId="59" xfId="63" applyFont="1" applyFill="1" applyBorder="1" applyAlignment="1">
      <alignment horizontal="center"/>
    </xf>
    <xf numFmtId="165" fontId="41" fillId="50" borderId="11" xfId="28" applyNumberFormat="1" applyFont="1" applyFill="1" applyBorder="1" applyAlignment="1">
      <alignment horizontal="center" vertical="center"/>
    </xf>
    <xf numFmtId="164" fontId="8" fillId="50" borderId="11" xfId="63" applyNumberFormat="1" applyFill="1" applyBorder="1" applyAlignment="1">
      <alignment horizontal="center" vertical="center"/>
    </xf>
    <xf numFmtId="164" fontId="8" fillId="50" borderId="59" xfId="63" applyNumberFormat="1" applyFill="1" applyBorder="1" applyAlignment="1">
      <alignment horizontal="center" vertical="center"/>
    </xf>
    <xf numFmtId="165" fontId="41" fillId="50" borderId="53" xfId="28" applyNumberFormat="1" applyFont="1" applyFill="1" applyBorder="1" applyAlignment="1">
      <alignment horizontal="center" vertical="center"/>
    </xf>
    <xf numFmtId="164" fontId="8" fillId="50" borderId="53" xfId="63" applyNumberFormat="1" applyFill="1" applyBorder="1" applyAlignment="1">
      <alignment horizontal="center" vertical="center"/>
    </xf>
    <xf numFmtId="164" fontId="8" fillId="50" borderId="67" xfId="63" applyNumberFormat="1" applyFill="1" applyBorder="1" applyAlignment="1">
      <alignment horizontal="center" vertical="center"/>
    </xf>
    <xf numFmtId="6" fontId="8" fillId="50" borderId="11" xfId="0" applyNumberFormat="1" applyFont="1" applyFill="1" applyBorder="1"/>
    <xf numFmtId="9" fontId="8" fillId="35" borderId="48" xfId="44" applyFill="1" applyBorder="1" applyAlignment="1">
      <alignment horizontal="center"/>
    </xf>
    <xf numFmtId="9" fontId="8" fillId="35" borderId="66" xfId="44" applyFill="1" applyBorder="1" applyAlignment="1">
      <alignment horizontal="center"/>
    </xf>
    <xf numFmtId="9" fontId="8" fillId="35" borderId="49" xfId="44" applyFill="1" applyBorder="1" applyAlignment="1">
      <alignment horizontal="center"/>
    </xf>
    <xf numFmtId="0" fontId="90" fillId="35" borderId="47" xfId="63" applyFont="1" applyFill="1" applyBorder="1" applyAlignment="1">
      <alignment horizontal="center"/>
    </xf>
    <xf numFmtId="0" fontId="8" fillId="30" borderId="31" xfId="63" applyFill="1" applyBorder="1"/>
    <xf numFmtId="0" fontId="8" fillId="33" borderId="31" xfId="63" applyFill="1" applyBorder="1"/>
    <xf numFmtId="0" fontId="38" fillId="33" borderId="23" xfId="0" applyFont="1" applyFill="1" applyBorder="1"/>
    <xf numFmtId="0" fontId="38" fillId="30" borderId="23" xfId="0" applyFont="1" applyFill="1" applyBorder="1"/>
    <xf numFmtId="0" fontId="38" fillId="35" borderId="23" xfId="63" applyFont="1" applyFill="1" applyBorder="1" applyAlignment="1">
      <alignment horizontal="left"/>
    </xf>
    <xf numFmtId="0" fontId="10" fillId="35" borderId="31" xfId="63" applyFont="1" applyFill="1" applyBorder="1" applyAlignment="1">
      <alignment horizontal="center"/>
    </xf>
    <xf numFmtId="44" fontId="8" fillId="0" borderId="0" xfId="63" applyNumberFormat="1" applyAlignment="1">
      <alignment horizontal="center"/>
    </xf>
    <xf numFmtId="169" fontId="11" fillId="0" borderId="0" xfId="61" applyNumberFormat="1" applyFont="1" applyBorder="1" applyAlignment="1">
      <alignment horizontal="right"/>
    </xf>
    <xf numFmtId="0" fontId="8" fillId="0" borderId="0" xfId="71"/>
    <xf numFmtId="0" fontId="39" fillId="27" borderId="0" xfId="71" applyFont="1" applyFill="1"/>
    <xf numFmtId="6" fontId="0" fillId="0" borderId="19" xfId="0" applyNumberFormat="1" applyBorder="1"/>
    <xf numFmtId="6" fontId="0" fillId="0" borderId="21" xfId="0" applyNumberFormat="1" applyBorder="1"/>
    <xf numFmtId="176" fontId="0" fillId="0" borderId="0" xfId="0" applyNumberFormat="1"/>
    <xf numFmtId="0" fontId="11" fillId="0" borderId="37" xfId="0" applyFont="1" applyBorder="1" applyAlignment="1">
      <alignment horizontal="right"/>
    </xf>
    <xf numFmtId="0" fontId="70" fillId="50" borderId="10" xfId="0" applyFont="1" applyFill="1" applyBorder="1" applyAlignment="1">
      <alignment horizontal="center"/>
    </xf>
    <xf numFmtId="0" fontId="70" fillId="50" borderId="36" xfId="0" applyFont="1" applyFill="1" applyBorder="1" applyAlignment="1">
      <alignment horizontal="center"/>
    </xf>
    <xf numFmtId="0" fontId="70" fillId="50" borderId="39" xfId="0" applyFont="1" applyFill="1" applyBorder="1" applyAlignment="1">
      <alignment horizontal="center"/>
    </xf>
    <xf numFmtId="0" fontId="10" fillId="50" borderId="10" xfId="0" applyFont="1" applyFill="1" applyBorder="1" applyAlignment="1">
      <alignment horizontal="center" wrapText="1"/>
    </xf>
    <xf numFmtId="0" fontId="10" fillId="50" borderId="36" xfId="0" applyFont="1" applyFill="1" applyBorder="1" applyAlignment="1">
      <alignment horizontal="center" wrapText="1"/>
    </xf>
    <xf numFmtId="0" fontId="10" fillId="50" borderId="10" xfId="0" applyFont="1" applyFill="1" applyBorder="1" applyAlignment="1">
      <alignment horizontal="center"/>
    </xf>
    <xf numFmtId="0" fontId="10" fillId="50" borderId="39" xfId="0" applyFont="1" applyFill="1" applyBorder="1" applyAlignment="1">
      <alignment horizontal="center"/>
    </xf>
    <xf numFmtId="0" fontId="51" fillId="53" borderId="23" xfId="0" applyFont="1" applyFill="1" applyBorder="1"/>
    <xf numFmtId="0" fontId="0" fillId="53" borderId="31" xfId="0" applyFill="1" applyBorder="1"/>
    <xf numFmtId="0" fontId="10" fillId="53" borderId="31" xfId="0" applyFont="1" applyFill="1" applyBorder="1" applyAlignment="1">
      <alignment horizontal="center"/>
    </xf>
    <xf numFmtId="0" fontId="0" fillId="53" borderId="19" xfId="0" applyFill="1" applyBorder="1"/>
    <xf numFmtId="0" fontId="0" fillId="53" borderId="21" xfId="0" applyFill="1" applyBorder="1"/>
    <xf numFmtId="0" fontId="0" fillId="53" borderId="32" xfId="0" applyFill="1" applyBorder="1"/>
    <xf numFmtId="6" fontId="0" fillId="53" borderId="32" xfId="0" applyNumberFormat="1" applyFill="1" applyBorder="1" applyAlignment="1">
      <alignment horizontal="center" vertical="center"/>
    </xf>
    <xf numFmtId="167" fontId="11" fillId="49" borderId="36" xfId="0" applyNumberFormat="1" applyFont="1" applyFill="1" applyBorder="1" applyAlignment="1">
      <alignment vertical="center"/>
    </xf>
    <xf numFmtId="0" fontId="10" fillId="49" borderId="56" xfId="0" applyFont="1" applyFill="1" applyBorder="1" applyAlignment="1">
      <alignment horizontal="left" wrapText="1"/>
    </xf>
    <xf numFmtId="6" fontId="8" fillId="0" borderId="0" xfId="0" applyNumberFormat="1" applyFont="1" applyAlignment="1">
      <alignment horizontal="right"/>
    </xf>
    <xf numFmtId="6" fontId="90" fillId="0" borderId="0" xfId="0" applyNumberFormat="1" applyFont="1"/>
    <xf numFmtId="6" fontId="41" fillId="0" borderId="0" xfId="0" applyNumberFormat="1" applyFont="1" applyAlignment="1">
      <alignment horizontal="left"/>
    </xf>
    <xf numFmtId="0" fontId="41" fillId="0" borderId="0" xfId="0" applyFont="1" applyAlignment="1">
      <alignment horizontal="left"/>
    </xf>
    <xf numFmtId="6" fontId="8" fillId="0" borderId="0" xfId="0" applyNumberFormat="1" applyFont="1" applyAlignment="1">
      <alignment horizontal="left"/>
    </xf>
    <xf numFmtId="164" fontId="8" fillId="0" borderId="0" xfId="0" applyNumberFormat="1" applyFont="1" applyAlignment="1">
      <alignment horizontal="left"/>
    </xf>
    <xf numFmtId="6" fontId="54" fillId="0" borderId="0" xfId="0" applyNumberFormat="1" applyFont="1"/>
    <xf numFmtId="0" fontId="0" fillId="29" borderId="0" xfId="0" applyFill="1"/>
    <xf numFmtId="0" fontId="8" fillId="0" borderId="15" xfId="0" applyFont="1" applyBorder="1" applyAlignment="1">
      <alignment horizontal="left" vertical="center" wrapText="1"/>
    </xf>
    <xf numFmtId="0" fontId="41" fillId="29" borderId="33" xfId="0" applyFont="1" applyFill="1" applyBorder="1" applyAlignment="1">
      <alignment vertical="center"/>
    </xf>
    <xf numFmtId="0" fontId="41" fillId="29" borderId="33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right"/>
    </xf>
    <xf numFmtId="0" fontId="10" fillId="0" borderId="12" xfId="0" applyFont="1" applyBorder="1" applyAlignment="1">
      <alignment horizontal="center" vertical="center"/>
    </xf>
    <xf numFmtId="0" fontId="10" fillId="0" borderId="12" xfId="0" applyFont="1" applyBorder="1" applyAlignment="1">
      <alignment horizontal="right"/>
    </xf>
    <xf numFmtId="0" fontId="10" fillId="0" borderId="12" xfId="0" applyFont="1" applyBorder="1" applyAlignment="1">
      <alignment horizontal="center"/>
    </xf>
    <xf numFmtId="0" fontId="11" fillId="29" borderId="15" xfId="0" applyFont="1" applyFill="1" applyBorder="1" applyAlignment="1">
      <alignment horizontal="left"/>
    </xf>
    <xf numFmtId="0" fontId="8" fillId="0" borderId="16" xfId="0" applyFont="1" applyBorder="1"/>
    <xf numFmtId="0" fontId="8" fillId="0" borderId="14" xfId="0" applyFont="1" applyBorder="1"/>
    <xf numFmtId="0" fontId="8" fillId="0" borderId="15" xfId="0" applyFont="1" applyBorder="1" applyAlignment="1">
      <alignment horizontal="left"/>
    </xf>
    <xf numFmtId="0" fontId="0" fillId="0" borderId="13" xfId="0" applyBorder="1"/>
    <xf numFmtId="0" fontId="11" fillId="0" borderId="15" xfId="0" quotePrefix="1" applyFont="1" applyBorder="1" applyAlignment="1">
      <alignment horizontal="left" indent="1"/>
    </xf>
    <xf numFmtId="0" fontId="10" fillId="0" borderId="40" xfId="0" applyFont="1" applyBorder="1" applyAlignment="1">
      <alignment vertical="top" wrapText="1"/>
    </xf>
    <xf numFmtId="0" fontId="8" fillId="0" borderId="43" xfId="0" applyFont="1" applyBorder="1" applyAlignment="1">
      <alignment horizontal="right"/>
    </xf>
    <xf numFmtId="0" fontId="11" fillId="0" borderId="10" xfId="0" applyFont="1" applyBorder="1" applyAlignment="1">
      <alignment horizontal="right"/>
    </xf>
    <xf numFmtId="0" fontId="10" fillId="26" borderId="10" xfId="0" applyFont="1" applyFill="1" applyBorder="1" applyAlignment="1">
      <alignment horizontal="left"/>
    </xf>
    <xf numFmtId="0" fontId="0" fillId="26" borderId="12" xfId="0" applyFill="1" applyBorder="1"/>
    <xf numFmtId="0" fontId="70" fillId="50" borderId="39" xfId="0" applyFont="1" applyFill="1" applyBorder="1"/>
    <xf numFmtId="0" fontId="49" fillId="50" borderId="0" xfId="0" applyFont="1" applyFill="1"/>
    <xf numFmtId="0" fontId="8" fillId="0" borderId="14" xfId="0" applyFont="1" applyBorder="1" applyAlignment="1">
      <alignment vertical="center"/>
    </xf>
    <xf numFmtId="0" fontId="46" fillId="26" borderId="10" xfId="0" applyFont="1" applyFill="1" applyBorder="1" applyAlignment="1">
      <alignment horizontal="left"/>
    </xf>
    <xf numFmtId="0" fontId="76" fillId="26" borderId="12" xfId="0" applyFont="1" applyFill="1" applyBorder="1" applyAlignment="1">
      <alignment horizontal="center"/>
    </xf>
    <xf numFmtId="0" fontId="76" fillId="26" borderId="12" xfId="0" applyFont="1" applyFill="1" applyBorder="1"/>
    <xf numFmtId="0" fontId="10" fillId="26" borderId="10" xfId="0" applyFont="1" applyFill="1" applyBorder="1"/>
    <xf numFmtId="0" fontId="8" fillId="29" borderId="0" xfId="0" applyFont="1" applyFill="1"/>
    <xf numFmtId="0" fontId="0" fillId="29" borderId="33" xfId="0" applyFill="1" applyBorder="1" applyAlignment="1">
      <alignment horizontal="center" vertical="center"/>
    </xf>
    <xf numFmtId="0" fontId="0" fillId="0" borderId="40" xfId="0" applyBorder="1"/>
    <xf numFmtId="165" fontId="0" fillId="0" borderId="0" xfId="28" applyNumberFormat="1" applyFont="1" applyBorder="1" applyAlignment="1">
      <alignment horizontal="center"/>
    </xf>
    <xf numFmtId="165" fontId="0" fillId="0" borderId="43" xfId="28" applyNumberFormat="1" applyFont="1" applyBorder="1" applyAlignment="1">
      <alignment horizontal="center"/>
    </xf>
    <xf numFmtId="0" fontId="8" fillId="26" borderId="12" xfId="0" applyFont="1" applyFill="1" applyBorder="1"/>
    <xf numFmtId="6" fontId="0" fillId="26" borderId="12" xfId="0" applyNumberFormat="1" applyFill="1" applyBorder="1"/>
    <xf numFmtId="0" fontId="11" fillId="26" borderId="12" xfId="0" applyFont="1" applyFill="1" applyBorder="1"/>
    <xf numFmtId="44" fontId="0" fillId="29" borderId="33" xfId="28" applyFont="1" applyFill="1" applyBorder="1"/>
    <xf numFmtId="9" fontId="0" fillId="29" borderId="0" xfId="44" applyFont="1" applyFill="1" applyBorder="1"/>
    <xf numFmtId="9" fontId="0" fillId="29" borderId="0" xfId="0" applyNumberFormat="1" applyFill="1" applyAlignment="1">
      <alignment horizontal="right"/>
    </xf>
    <xf numFmtId="0" fontId="37" fillId="26" borderId="12" xfId="0" applyFont="1" applyFill="1" applyBorder="1"/>
    <xf numFmtId="6" fontId="0" fillId="0" borderId="0" xfId="67" applyNumberFormat="1" applyFont="1" applyFill="1"/>
    <xf numFmtId="9" fontId="8" fillId="29" borderId="0" xfId="44" applyFont="1" applyFill="1" applyBorder="1" applyAlignment="1">
      <alignment horizontal="center"/>
    </xf>
    <xf numFmtId="167" fontId="8" fillId="29" borderId="0" xfId="28" applyNumberFormat="1" applyFont="1" applyFill="1" applyBorder="1"/>
    <xf numFmtId="167" fontId="10" fillId="29" borderId="0" xfId="28" applyNumberFormat="1" applyFont="1" applyFill="1" applyBorder="1" applyAlignment="1">
      <alignment horizontal="left" vertical="center"/>
    </xf>
    <xf numFmtId="9" fontId="8" fillId="29" borderId="0" xfId="44" applyFont="1" applyFill="1" applyBorder="1"/>
    <xf numFmtId="0" fontId="10" fillId="0" borderId="11" xfId="0" applyFont="1" applyBorder="1" applyAlignment="1">
      <alignment horizontal="right" vertical="center"/>
    </xf>
    <xf numFmtId="6" fontId="0" fillId="29" borderId="0" xfId="0" applyNumberFormat="1" applyFill="1"/>
    <xf numFmtId="6" fontId="0" fillId="29" borderId="0" xfId="0" applyNumberFormat="1" applyFill="1" applyAlignment="1">
      <alignment horizontal="left"/>
    </xf>
    <xf numFmtId="6" fontId="10" fillId="29" borderId="0" xfId="0" applyNumberFormat="1" applyFont="1" applyFill="1"/>
    <xf numFmtId="0" fontId="0" fillId="50" borderId="0" xfId="0" applyFill="1"/>
    <xf numFmtId="0" fontId="37" fillId="50" borderId="0" xfId="0" applyFont="1" applyFill="1"/>
    <xf numFmtId="0" fontId="35" fillId="26" borderId="12" xfId="0" applyFont="1" applyFill="1" applyBorder="1" applyAlignment="1">
      <alignment horizontal="right"/>
    </xf>
    <xf numFmtId="6" fontId="41" fillId="29" borderId="0" xfId="0" applyNumberFormat="1" applyFont="1" applyFill="1"/>
    <xf numFmtId="6" fontId="84" fillId="0" borderId="0" xfId="0" applyNumberFormat="1" applyFont="1"/>
    <xf numFmtId="6" fontId="0" fillId="0" borderId="0" xfId="0" applyNumberFormat="1" applyAlignment="1">
      <alignment horizontal="left"/>
    </xf>
    <xf numFmtId="164" fontId="69" fillId="0" borderId="0" xfId="0" applyNumberFormat="1" applyFont="1" applyAlignment="1">
      <alignment horizontal="left"/>
    </xf>
    <xf numFmtId="6" fontId="41" fillId="0" borderId="0" xfId="0" applyNumberFormat="1" applyFont="1" applyAlignment="1">
      <alignment wrapText="1"/>
    </xf>
    <xf numFmtId="0" fontId="79" fillId="0" borderId="0" xfId="0" applyFont="1" applyAlignment="1">
      <alignment wrapText="1"/>
    </xf>
    <xf numFmtId="169" fontId="0" fillId="0" borderId="0" xfId="0" applyNumberFormat="1"/>
    <xf numFmtId="43" fontId="0" fillId="0" borderId="0" xfId="67" applyFont="1" applyFill="1"/>
    <xf numFmtId="170" fontId="0" fillId="0" borderId="0" xfId="28" applyNumberFormat="1" applyFont="1" applyFill="1"/>
    <xf numFmtId="0" fontId="49" fillId="0" borderId="31" xfId="0" applyFont="1" applyBorder="1"/>
    <xf numFmtId="165" fontId="52" fillId="0" borderId="31" xfId="28" applyNumberFormat="1" applyFont="1" applyFill="1" applyBorder="1"/>
    <xf numFmtId="164" fontId="69" fillId="0" borderId="31" xfId="0" applyNumberFormat="1" applyFont="1" applyBorder="1"/>
    <xf numFmtId="0" fontId="46" fillId="50" borderId="31" xfId="0" applyFont="1" applyFill="1" applyBorder="1"/>
    <xf numFmtId="0" fontId="70" fillId="50" borderId="71" xfId="0" applyFont="1" applyFill="1" applyBorder="1"/>
    <xf numFmtId="0" fontId="0" fillId="29" borderId="25" xfId="0" applyFill="1" applyBorder="1"/>
    <xf numFmtId="0" fontId="0" fillId="29" borderId="72" xfId="0" applyFill="1" applyBorder="1"/>
    <xf numFmtId="14" fontId="44" fillId="29" borderId="72" xfId="0" applyNumberFormat="1" applyFont="1" applyFill="1" applyBorder="1" applyAlignment="1">
      <alignment horizontal="left"/>
    </xf>
    <xf numFmtId="0" fontId="44" fillId="29" borderId="72" xfId="0" applyFont="1" applyFill="1" applyBorder="1"/>
    <xf numFmtId="0" fontId="44" fillId="29" borderId="26" xfId="0" applyFont="1" applyFill="1" applyBorder="1"/>
    <xf numFmtId="0" fontId="0" fillId="29" borderId="27" xfId="0" applyFill="1" applyBorder="1"/>
    <xf numFmtId="0" fontId="54" fillId="38" borderId="0" xfId="63" applyFont="1" applyFill="1" applyAlignment="1">
      <alignment horizontal="left" vertical="center"/>
    </xf>
    <xf numFmtId="0" fontId="11" fillId="29" borderId="0" xfId="0" applyFont="1" applyFill="1"/>
    <xf numFmtId="0" fontId="44" fillId="29" borderId="28" xfId="0" applyFont="1" applyFill="1" applyBorder="1"/>
    <xf numFmtId="0" fontId="47" fillId="29" borderId="0" xfId="0" applyFont="1" applyFill="1"/>
    <xf numFmtId="0" fontId="47" fillId="29" borderId="28" xfId="0" applyFont="1" applyFill="1" applyBorder="1"/>
    <xf numFmtId="0" fontId="37" fillId="29" borderId="0" xfId="0" applyFont="1" applyFill="1"/>
    <xf numFmtId="0" fontId="37" fillId="29" borderId="28" xfId="0" applyFont="1" applyFill="1" applyBorder="1"/>
    <xf numFmtId="0" fontId="35" fillId="29" borderId="0" xfId="0" applyFont="1" applyFill="1" applyAlignment="1">
      <alignment horizontal="right"/>
    </xf>
    <xf numFmtId="0" fontId="0" fillId="29" borderId="28" xfId="0" applyFill="1" applyBorder="1"/>
    <xf numFmtId="0" fontId="0" fillId="26" borderId="73" xfId="0" applyFill="1" applyBorder="1"/>
    <xf numFmtId="0" fontId="0" fillId="0" borderId="28" xfId="0" applyBorder="1"/>
    <xf numFmtId="0" fontId="40" fillId="29" borderId="0" xfId="0" applyFont="1" applyFill="1" applyAlignment="1">
      <alignment horizontal="right" vertical="center"/>
    </xf>
    <xf numFmtId="0" fontId="11" fillId="29" borderId="0" xfId="0" applyFont="1" applyFill="1" applyAlignment="1">
      <alignment vertical="center"/>
    </xf>
    <xf numFmtId="0" fontId="41" fillId="29" borderId="0" xfId="0" applyFont="1" applyFill="1"/>
    <xf numFmtId="0" fontId="0" fillId="29" borderId="74" xfId="0" applyFill="1" applyBorder="1"/>
    <xf numFmtId="0" fontId="44" fillId="29" borderId="0" xfId="0" applyFont="1" applyFill="1"/>
    <xf numFmtId="0" fontId="0" fillId="29" borderId="75" xfId="0" applyFill="1" applyBorder="1"/>
    <xf numFmtId="0" fontId="39" fillId="29" borderId="0" xfId="0" applyFont="1" applyFill="1"/>
    <xf numFmtId="0" fontId="11" fillId="29" borderId="0" xfId="0" applyFont="1" applyFill="1" applyAlignment="1">
      <alignment horizontal="left" vertical="top"/>
    </xf>
    <xf numFmtId="0" fontId="83" fillId="29" borderId="28" xfId="0" applyFont="1" applyFill="1" applyBorder="1"/>
    <xf numFmtId="0" fontId="84" fillId="29" borderId="28" xfId="0" applyFont="1" applyFill="1" applyBorder="1" applyAlignment="1">
      <alignment horizontal="left"/>
    </xf>
    <xf numFmtId="0" fontId="93" fillId="29" borderId="28" xfId="0" applyFont="1" applyFill="1" applyBorder="1" applyAlignment="1">
      <alignment horizontal="left"/>
    </xf>
    <xf numFmtId="6" fontId="41" fillId="29" borderId="28" xfId="0" applyNumberFormat="1" applyFont="1" applyFill="1" applyBorder="1"/>
    <xf numFmtId="44" fontId="0" fillId="29" borderId="28" xfId="28" applyFont="1" applyFill="1" applyBorder="1"/>
    <xf numFmtId="9" fontId="8" fillId="0" borderId="0" xfId="0" applyNumberFormat="1" applyFont="1" applyAlignment="1">
      <alignment horizontal="left"/>
    </xf>
    <xf numFmtId="0" fontId="10" fillId="29" borderId="0" xfId="0" applyFont="1" applyFill="1"/>
    <xf numFmtId="44" fontId="0" fillId="29" borderId="0" xfId="28" applyFont="1" applyFill="1" applyBorder="1"/>
    <xf numFmtId="0" fontId="8" fillId="29" borderId="0" xfId="0" applyFont="1" applyFill="1" applyAlignment="1">
      <alignment horizontal="right"/>
    </xf>
    <xf numFmtId="0" fontId="35" fillId="29" borderId="0" xfId="0" applyFont="1" applyFill="1"/>
    <xf numFmtId="0" fontId="10" fillId="29" borderId="0" xfId="0" applyFont="1" applyFill="1" applyAlignment="1">
      <alignment horizontal="left"/>
    </xf>
    <xf numFmtId="9" fontId="0" fillId="29" borderId="28" xfId="44" applyFont="1" applyFill="1" applyBorder="1"/>
    <xf numFmtId="0" fontId="0" fillId="35" borderId="0" xfId="0" applyFill="1"/>
    <xf numFmtId="6" fontId="0" fillId="35" borderId="0" xfId="0" applyNumberFormat="1" applyFill="1" applyAlignment="1">
      <alignment horizontal="center" vertical="center"/>
    </xf>
    <xf numFmtId="0" fontId="10" fillId="33" borderId="76" xfId="0" applyFont="1" applyFill="1" applyBorder="1" applyAlignment="1">
      <alignment horizontal="center"/>
    </xf>
    <xf numFmtId="0" fontId="0" fillId="33" borderId="0" xfId="0" applyFill="1"/>
    <xf numFmtId="6" fontId="0" fillId="33" borderId="0" xfId="0" applyNumberFormat="1" applyFill="1" applyAlignment="1">
      <alignment horizontal="center" vertical="center"/>
    </xf>
    <xf numFmtId="167" fontId="10" fillId="29" borderId="0" xfId="0" applyNumberFormat="1" applyFont="1" applyFill="1"/>
    <xf numFmtId="167" fontId="11" fillId="29" borderId="0" xfId="0" applyNumberFormat="1" applyFont="1" applyFill="1" applyAlignment="1">
      <alignment vertical="center"/>
    </xf>
    <xf numFmtId="0" fontId="0" fillId="29" borderId="29" xfId="0" applyFill="1" applyBorder="1"/>
    <xf numFmtId="0" fontId="0" fillId="29" borderId="78" xfId="0" applyFill="1" applyBorder="1"/>
    <xf numFmtId="0" fontId="0" fillId="29" borderId="30" xfId="0" applyFill="1" applyBorder="1"/>
    <xf numFmtId="14" fontId="44" fillId="29" borderId="0" xfId="0" applyNumberFormat="1" applyFont="1" applyFill="1" applyAlignment="1">
      <alignment horizontal="left"/>
    </xf>
    <xf numFmtId="0" fontId="0" fillId="29" borderId="17" xfId="0" applyFill="1" applyBorder="1"/>
    <xf numFmtId="0" fontId="0" fillId="29" borderId="33" xfId="0" applyFill="1" applyBorder="1"/>
    <xf numFmtId="0" fontId="8" fillId="29" borderId="33" xfId="0" applyFont="1" applyFill="1" applyBorder="1"/>
    <xf numFmtId="0" fontId="0" fillId="29" borderId="42" xfId="0" applyFill="1" applyBorder="1"/>
    <xf numFmtId="0" fontId="0" fillId="29" borderId="13" xfId="0" applyFill="1" applyBorder="1"/>
    <xf numFmtId="0" fontId="94" fillId="29" borderId="72" xfId="0" applyFont="1" applyFill="1" applyBorder="1" applyAlignment="1">
      <alignment vertical="center"/>
    </xf>
    <xf numFmtId="6" fontId="0" fillId="29" borderId="0" xfId="0" applyNumberFormat="1" applyFill="1" applyAlignment="1">
      <alignment horizontal="center" vertical="center"/>
    </xf>
    <xf numFmtId="0" fontId="8" fillId="29" borderId="0" xfId="63" applyFill="1"/>
    <xf numFmtId="0" fontId="10" fillId="0" borderId="42" xfId="63" applyFont="1" applyBorder="1" applyAlignment="1">
      <alignment horizontal="right" vertical="center"/>
    </xf>
    <xf numFmtId="0" fontId="10" fillId="0" borderId="14" xfId="63" applyFont="1" applyBorder="1" applyAlignment="1">
      <alignment horizontal="right" vertical="center"/>
    </xf>
    <xf numFmtId="0" fontId="10" fillId="0" borderId="10" xfId="63" applyFont="1" applyBorder="1"/>
    <xf numFmtId="0" fontId="8" fillId="0" borderId="42" xfId="63" applyBorder="1" applyAlignment="1">
      <alignment wrapText="1"/>
    </xf>
    <xf numFmtId="0" fontId="8" fillId="0" borderId="16" xfId="63" applyBorder="1" applyAlignment="1">
      <alignment wrapText="1"/>
    </xf>
    <xf numFmtId="0" fontId="8" fillId="0" borderId="14" xfId="63" applyBorder="1" applyAlignment="1">
      <alignment wrapText="1"/>
    </xf>
    <xf numFmtId="0" fontId="8" fillId="0" borderId="40" xfId="0" applyFont="1" applyBorder="1"/>
    <xf numFmtId="0" fontId="10" fillId="0" borderId="11" xfId="63" applyFont="1" applyBorder="1"/>
    <xf numFmtId="9" fontId="0" fillId="0" borderId="13" xfId="44" applyFont="1" applyFill="1" applyBorder="1" applyAlignment="1">
      <alignment horizontal="center"/>
    </xf>
    <xf numFmtId="0" fontId="11" fillId="0" borderId="10" xfId="0" applyFont="1" applyBorder="1" applyAlignment="1">
      <alignment horizontal="right" vertical="center"/>
    </xf>
    <xf numFmtId="9" fontId="0" fillId="29" borderId="0" xfId="44" applyFont="1" applyFill="1" applyBorder="1" applyAlignment="1">
      <alignment horizontal="center"/>
    </xf>
    <xf numFmtId="0" fontId="10" fillId="0" borderId="36" xfId="0" applyFont="1" applyBorder="1" applyAlignment="1">
      <alignment horizontal="center" vertical="center"/>
    </xf>
    <xf numFmtId="165" fontId="0" fillId="0" borderId="20" xfId="28" applyNumberFormat="1" applyFont="1" applyBorder="1" applyAlignment="1">
      <alignment horizontal="center" vertical="center"/>
    </xf>
    <xf numFmtId="165" fontId="0" fillId="0" borderId="62" xfId="28" applyNumberFormat="1" applyFont="1" applyBorder="1" applyAlignment="1">
      <alignment horizontal="center" vertical="center"/>
    </xf>
    <xf numFmtId="0" fontId="10" fillId="0" borderId="10" xfId="0" applyFont="1" applyBorder="1"/>
    <xf numFmtId="6" fontId="44" fillId="0" borderId="0" xfId="0" applyNumberFormat="1" applyFont="1"/>
    <xf numFmtId="0" fontId="10" fillId="52" borderId="10" xfId="0" applyFont="1" applyFill="1" applyBorder="1" applyAlignment="1">
      <alignment horizontal="left"/>
    </xf>
    <xf numFmtId="0" fontId="0" fillId="52" borderId="12" xfId="0" applyFill="1" applyBorder="1"/>
    <xf numFmtId="0" fontId="11" fillId="52" borderId="12" xfId="0" applyFont="1" applyFill="1" applyBorder="1"/>
    <xf numFmtId="6" fontId="0" fillId="52" borderId="12" xfId="0" applyNumberFormat="1" applyFill="1" applyBorder="1"/>
    <xf numFmtId="0" fontId="8" fillId="52" borderId="12" xfId="0" applyFont="1" applyFill="1" applyBorder="1"/>
    <xf numFmtId="0" fontId="0" fillId="52" borderId="12" xfId="0" applyFill="1" applyBorder="1" applyAlignment="1">
      <alignment horizontal="center" vertical="center"/>
    </xf>
    <xf numFmtId="0" fontId="35" fillId="0" borderId="40" xfId="63" applyFont="1" applyBorder="1" applyAlignment="1">
      <alignment horizontal="left"/>
    </xf>
    <xf numFmtId="0" fontId="10" fillId="0" borderId="65" xfId="63" applyFont="1" applyBorder="1" applyAlignment="1">
      <alignment horizontal="center"/>
    </xf>
    <xf numFmtId="0" fontId="8" fillId="52" borderId="12" xfId="63" applyFill="1" applyBorder="1"/>
    <xf numFmtId="0" fontId="10" fillId="52" borderId="10" xfId="0" applyFont="1" applyFill="1" applyBorder="1" applyAlignment="1">
      <alignment horizontal="left" vertical="center"/>
    </xf>
    <xf numFmtId="0" fontId="44" fillId="52" borderId="12" xfId="0" applyFont="1" applyFill="1" applyBorder="1" applyAlignment="1">
      <alignment horizontal="center" vertical="center"/>
    </xf>
    <xf numFmtId="0" fontId="44" fillId="52" borderId="12" xfId="0" applyFont="1" applyFill="1" applyBorder="1" applyAlignment="1">
      <alignment vertical="center"/>
    </xf>
    <xf numFmtId="0" fontId="10" fillId="52" borderId="10" xfId="63" applyFont="1" applyFill="1" applyBorder="1" applyAlignment="1">
      <alignment vertical="center"/>
    </xf>
    <xf numFmtId="0" fontId="8" fillId="52" borderId="12" xfId="63" applyFill="1" applyBorder="1" applyAlignment="1">
      <alignment vertical="center"/>
    </xf>
    <xf numFmtId="0" fontId="35" fillId="52" borderId="12" xfId="63" applyFont="1" applyFill="1" applyBorder="1" applyAlignment="1">
      <alignment horizontal="right" vertical="center"/>
    </xf>
    <xf numFmtId="0" fontId="8" fillId="0" borderId="17" xfId="0" applyFont="1" applyBorder="1" applyAlignment="1">
      <alignment wrapText="1"/>
    </xf>
    <xf numFmtId="0" fontId="8" fillId="0" borderId="15" xfId="0" applyFont="1" applyBorder="1" applyAlignment="1">
      <alignment wrapText="1"/>
    </xf>
    <xf numFmtId="9" fontId="0" fillId="29" borderId="0" xfId="65" applyFont="1" applyFill="1" applyBorder="1"/>
    <xf numFmtId="9" fontId="8" fillId="29" borderId="0" xfId="44" applyFill="1" applyBorder="1" applyAlignment="1">
      <alignment horizontal="center"/>
    </xf>
    <xf numFmtId="1" fontId="56" fillId="29" borderId="16" xfId="0" applyNumberFormat="1" applyFont="1" applyFill="1" applyBorder="1"/>
    <xf numFmtId="0" fontId="10" fillId="52" borderId="10" xfId="63" applyFont="1" applyFill="1" applyBorder="1" applyAlignment="1">
      <alignment horizontal="left" vertical="center"/>
    </xf>
    <xf numFmtId="0" fontId="37" fillId="52" borderId="12" xfId="63" applyFont="1" applyFill="1" applyBorder="1" applyAlignment="1">
      <alignment vertical="center"/>
    </xf>
    <xf numFmtId="0" fontId="8" fillId="0" borderId="0" xfId="63" applyAlignment="1">
      <alignment vertical="center"/>
    </xf>
    <xf numFmtId="0" fontId="8" fillId="52" borderId="12" xfId="0" applyFont="1" applyFill="1" applyBorder="1" applyAlignment="1">
      <alignment vertical="center"/>
    </xf>
    <xf numFmtId="6" fontId="0" fillId="52" borderId="12" xfId="0" applyNumberFormat="1" applyFill="1" applyBorder="1" applyAlignment="1">
      <alignment vertical="center"/>
    </xf>
    <xf numFmtId="0" fontId="11" fillId="52" borderId="12" xfId="0" applyFont="1" applyFill="1" applyBorder="1" applyAlignment="1">
      <alignment vertical="center"/>
    </xf>
    <xf numFmtId="0" fontId="0" fillId="52" borderId="12" xfId="0" applyFill="1" applyBorder="1" applyAlignment="1">
      <alignment vertical="center"/>
    </xf>
    <xf numFmtId="12" fontId="0" fillId="0" borderId="0" xfId="28" applyNumberFormat="1" applyFont="1" applyFill="1" applyAlignment="1">
      <alignment vertical="center"/>
    </xf>
    <xf numFmtId="44" fontId="0" fillId="0" borderId="0" xfId="0" applyNumberFormat="1" applyAlignment="1">
      <alignment vertical="center"/>
    </xf>
    <xf numFmtId="0" fontId="49" fillId="50" borderId="13" xfId="0" applyFont="1" applyFill="1" applyBorder="1"/>
    <xf numFmtId="0" fontId="8" fillId="50" borderId="65" xfId="63" applyFill="1" applyBorder="1"/>
    <xf numFmtId="0" fontId="10" fillId="50" borderId="39" xfId="0" applyFont="1" applyFill="1" applyBorder="1" applyAlignment="1">
      <alignment horizontal="left" vertical="center"/>
    </xf>
    <xf numFmtId="0" fontId="10" fillId="50" borderId="71" xfId="0" applyFont="1" applyFill="1" applyBorder="1" applyAlignment="1">
      <alignment horizontal="left" vertical="center"/>
    </xf>
    <xf numFmtId="0" fontId="8" fillId="37" borderId="0" xfId="63" applyFill="1"/>
    <xf numFmtId="0" fontId="41" fillId="29" borderId="0" xfId="63" applyFont="1" applyFill="1"/>
    <xf numFmtId="0" fontId="37" fillId="29" borderId="0" xfId="63" applyFont="1" applyFill="1"/>
    <xf numFmtId="0" fontId="35" fillId="29" borderId="0" xfId="63" applyFont="1" applyFill="1" applyAlignment="1">
      <alignment horizontal="right"/>
    </xf>
    <xf numFmtId="0" fontId="11" fillId="29" borderId="0" xfId="63" applyFont="1" applyFill="1"/>
    <xf numFmtId="20" fontId="8" fillId="29" borderId="0" xfId="63" quotePrefix="1" applyNumberFormat="1" applyFill="1" applyAlignment="1">
      <alignment horizontal="right"/>
    </xf>
    <xf numFmtId="0" fontId="55" fillId="29" borderId="0" xfId="60" applyFont="1" applyFill="1" applyAlignment="1">
      <alignment vertical="top"/>
    </xf>
    <xf numFmtId="16" fontId="55" fillId="29" borderId="0" xfId="60" quotePrefix="1" applyNumberFormat="1" applyFont="1" applyFill="1" applyAlignment="1">
      <alignment vertical="top"/>
    </xf>
    <xf numFmtId="0" fontId="39" fillId="29" borderId="0" xfId="63" applyFont="1" applyFill="1"/>
    <xf numFmtId="0" fontId="10" fillId="29" borderId="0" xfId="63" applyFont="1" applyFill="1"/>
    <xf numFmtId="0" fontId="0" fillId="29" borderId="0" xfId="0" applyFill="1" applyAlignment="1">
      <alignment horizontal="center" vertical="center"/>
    </xf>
    <xf numFmtId="6" fontId="0" fillId="29" borderId="0" xfId="0" applyNumberFormat="1" applyFill="1" applyAlignment="1">
      <alignment horizontal="left" vertical="top"/>
    </xf>
    <xf numFmtId="0" fontId="8" fillId="35" borderId="0" xfId="63" applyFill="1"/>
    <xf numFmtId="6" fontId="8" fillId="35" borderId="0" xfId="63" applyNumberFormat="1" applyFill="1" applyAlignment="1">
      <alignment horizontal="center"/>
    </xf>
    <xf numFmtId="0" fontId="90" fillId="29" borderId="0" xfId="63" applyFont="1" applyFill="1" applyAlignment="1">
      <alignment horizontal="center"/>
    </xf>
    <xf numFmtId="0" fontId="0" fillId="30" borderId="0" xfId="0" applyFill="1"/>
    <xf numFmtId="6" fontId="0" fillId="30" borderId="0" xfId="0" applyNumberFormat="1" applyFill="1" applyAlignment="1">
      <alignment horizontal="center" vertical="center"/>
    </xf>
    <xf numFmtId="0" fontId="8" fillId="29" borderId="25" xfId="63" applyFill="1" applyBorder="1"/>
    <xf numFmtId="0" fontId="94" fillId="29" borderId="72" xfId="63" applyFont="1" applyFill="1" applyBorder="1" applyAlignment="1">
      <alignment horizontal="left" vertical="center"/>
    </xf>
    <xf numFmtId="0" fontId="8" fillId="29" borderId="72" xfId="63" applyFill="1" applyBorder="1"/>
    <xf numFmtId="0" fontId="8" fillId="29" borderId="26" xfId="63" applyFill="1" applyBorder="1"/>
    <xf numFmtId="0" fontId="8" fillId="29" borderId="27" xfId="63" applyFill="1" applyBorder="1"/>
    <xf numFmtId="0" fontId="54" fillId="37" borderId="0" xfId="63" applyFont="1" applyFill="1" applyAlignment="1">
      <alignment horizontal="left" vertical="center"/>
    </xf>
    <xf numFmtId="0" fontId="37" fillId="29" borderId="28" xfId="63" applyFont="1" applyFill="1" applyBorder="1"/>
    <xf numFmtId="0" fontId="8" fillId="29" borderId="28" xfId="63" applyFill="1" applyBorder="1"/>
    <xf numFmtId="0" fontId="8" fillId="52" borderId="73" xfId="63" applyFill="1" applyBorder="1" applyAlignment="1">
      <alignment vertical="center"/>
    </xf>
    <xf numFmtId="20" fontId="8" fillId="29" borderId="28" xfId="63" quotePrefix="1" applyNumberFormat="1" applyFill="1" applyBorder="1" applyAlignment="1">
      <alignment horizontal="right"/>
    </xf>
    <xf numFmtId="0" fontId="8" fillId="29" borderId="0" xfId="63" applyFill="1" applyAlignment="1">
      <alignment wrapText="1"/>
    </xf>
    <xf numFmtId="0" fontId="40" fillId="29" borderId="0" xfId="0" applyFont="1" applyFill="1" applyAlignment="1">
      <alignment vertical="center"/>
    </xf>
    <xf numFmtId="0" fontId="8" fillId="52" borderId="73" xfId="63" applyFill="1" applyBorder="1"/>
    <xf numFmtId="0" fontId="10" fillId="29" borderId="28" xfId="0" applyFont="1" applyFill="1" applyBorder="1"/>
    <xf numFmtId="0" fontId="8" fillId="29" borderId="28" xfId="0" applyFont="1" applyFill="1" applyBorder="1" applyAlignment="1">
      <alignment horizontal="left"/>
    </xf>
    <xf numFmtId="0" fontId="10" fillId="29" borderId="0" xfId="0" applyFont="1" applyFill="1" applyAlignment="1">
      <alignment vertical="top" wrapText="1"/>
    </xf>
    <xf numFmtId="0" fontId="85" fillId="52" borderId="73" xfId="0" applyFont="1" applyFill="1" applyBorder="1" applyAlignment="1">
      <alignment horizontal="left"/>
    </xf>
    <xf numFmtId="0" fontId="0" fillId="29" borderId="27" xfId="0" applyFill="1" applyBorder="1" applyAlignment="1">
      <alignment vertical="center"/>
    </xf>
    <xf numFmtId="44" fontId="0" fillId="52" borderId="73" xfId="28" applyFont="1" applyFill="1" applyBorder="1" applyAlignment="1">
      <alignment vertical="center"/>
    </xf>
    <xf numFmtId="0" fontId="8" fillId="29" borderId="27" xfId="63" applyFill="1" applyBorder="1" applyAlignment="1">
      <alignment vertical="center"/>
    </xf>
    <xf numFmtId="0" fontId="35" fillId="0" borderId="0" xfId="63" applyFont="1"/>
    <xf numFmtId="0" fontId="0" fillId="0" borderId="27" xfId="0" applyBorder="1"/>
    <xf numFmtId="0" fontId="10" fillId="35" borderId="76" xfId="63" applyFont="1" applyFill="1" applyBorder="1" applyAlignment="1">
      <alignment horizontal="center"/>
    </xf>
    <xf numFmtId="6" fontId="8" fillId="35" borderId="28" xfId="63" applyNumberFormat="1" applyFill="1" applyBorder="1" applyAlignment="1">
      <alignment horizontal="center"/>
    </xf>
    <xf numFmtId="6" fontId="8" fillId="35" borderId="77" xfId="63" applyNumberFormat="1" applyFill="1" applyBorder="1" applyAlignment="1">
      <alignment horizontal="center"/>
    </xf>
    <xf numFmtId="0" fontId="10" fillId="30" borderId="76" xfId="0" applyFont="1" applyFill="1" applyBorder="1" applyAlignment="1">
      <alignment horizontal="center"/>
    </xf>
    <xf numFmtId="164" fontId="0" fillId="30" borderId="28" xfId="28" applyNumberFormat="1" applyFont="1" applyFill="1" applyBorder="1" applyAlignment="1">
      <alignment horizontal="center" vertical="center"/>
    </xf>
    <xf numFmtId="164" fontId="0" fillId="30" borderId="77" xfId="28" applyNumberFormat="1" applyFont="1" applyFill="1" applyBorder="1" applyAlignment="1">
      <alignment horizontal="center" vertical="center"/>
    </xf>
    <xf numFmtId="6" fontId="0" fillId="33" borderId="28" xfId="0" applyNumberFormat="1" applyFill="1" applyBorder="1" applyAlignment="1">
      <alignment horizontal="center" vertical="center"/>
    </xf>
    <xf numFmtId="6" fontId="0" fillId="33" borderId="77" xfId="0" applyNumberFormat="1" applyFill="1" applyBorder="1" applyAlignment="1">
      <alignment horizontal="center" vertical="center"/>
    </xf>
    <xf numFmtId="0" fontId="8" fillId="29" borderId="29" xfId="63" applyFill="1" applyBorder="1"/>
    <xf numFmtId="0" fontId="8" fillId="29" borderId="78" xfId="63" applyFill="1" applyBorder="1"/>
    <xf numFmtId="0" fontId="8" fillId="29" borderId="30" xfId="63" applyFill="1" applyBorder="1"/>
    <xf numFmtId="0" fontId="46" fillId="27" borderId="11" xfId="0" applyFont="1" applyFill="1" applyBorder="1" applyAlignment="1" applyProtection="1">
      <alignment horizontal="center" vertical="center"/>
      <protection locked="0"/>
    </xf>
    <xf numFmtId="0" fontId="91" fillId="29" borderId="1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27" borderId="11" xfId="0" applyFill="1" applyBorder="1" applyAlignment="1" applyProtection="1">
      <alignment horizontal="center"/>
      <protection locked="0"/>
    </xf>
    <xf numFmtId="0" fontId="0" fillId="27" borderId="42" xfId="0" applyFill="1" applyBorder="1" applyAlignment="1" applyProtection="1">
      <alignment horizontal="center"/>
      <protection locked="0"/>
    </xf>
    <xf numFmtId="0" fontId="8" fillId="27" borderId="82" xfId="0" applyFont="1" applyFill="1" applyBorder="1" applyAlignment="1" applyProtection="1">
      <alignment horizontal="center" vertical="center"/>
      <protection locked="0"/>
    </xf>
    <xf numFmtId="0" fontId="0" fillId="27" borderId="14" xfId="0" applyFill="1" applyBorder="1" applyAlignment="1" applyProtection="1">
      <alignment horizontal="center"/>
      <protection locked="0"/>
    </xf>
    <xf numFmtId="0" fontId="10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0" fontId="11" fillId="0" borderId="12" xfId="0" applyFont="1" applyBorder="1"/>
    <xf numFmtId="0" fontId="35" fillId="0" borderId="11" xfId="0" applyFont="1" applyBorder="1" applyAlignment="1">
      <alignment horizontal="left" vertical="center"/>
    </xf>
    <xf numFmtId="0" fontId="8" fillId="27" borderId="83" xfId="0" applyFont="1" applyFill="1" applyBorder="1" applyAlignment="1" applyProtection="1">
      <alignment horizontal="center" vertical="center"/>
      <protection locked="0"/>
    </xf>
    <xf numFmtId="0" fontId="10" fillId="0" borderId="12" xfId="0" applyFont="1" applyBorder="1" applyAlignment="1">
      <alignment horizontal="center" wrapText="1"/>
    </xf>
    <xf numFmtId="0" fontId="10" fillId="0" borderId="39" xfId="0" applyFont="1" applyBorder="1" applyAlignment="1">
      <alignment horizontal="center" wrapText="1"/>
    </xf>
    <xf numFmtId="0" fontId="8" fillId="27" borderId="14" xfId="0" applyFont="1" applyFill="1" applyBorder="1" applyAlignment="1" applyProtection="1">
      <alignment horizontal="center" vertical="center"/>
      <protection locked="0"/>
    </xf>
    <xf numFmtId="164" fontId="0" fillId="27" borderId="21" xfId="28" applyNumberFormat="1" applyFont="1" applyFill="1" applyBorder="1" applyAlignment="1" applyProtection="1">
      <protection locked="0"/>
    </xf>
    <xf numFmtId="44" fontId="0" fillId="27" borderId="32" xfId="28" applyFont="1" applyFill="1" applyBorder="1" applyAlignment="1" applyProtection="1">
      <protection locked="0"/>
    </xf>
    <xf numFmtId="44" fontId="0" fillId="27" borderId="22" xfId="28" applyFont="1" applyFill="1" applyBorder="1" applyAlignment="1" applyProtection="1">
      <protection locked="0"/>
    </xf>
    <xf numFmtId="9" fontId="8" fillId="27" borderId="11" xfId="44" applyFont="1" applyFill="1" applyBorder="1" applyAlignment="1" applyProtection="1">
      <alignment horizontal="center" vertical="center"/>
      <protection locked="0"/>
    </xf>
    <xf numFmtId="0" fontId="0" fillId="27" borderId="11" xfId="0" applyFill="1" applyBorder="1" applyAlignment="1" applyProtection="1">
      <alignment horizontal="center" vertical="center"/>
      <protection locked="0"/>
    </xf>
    <xf numFmtId="0" fontId="0" fillId="27" borderId="42" xfId="0" applyFill="1" applyBorder="1" applyAlignment="1" applyProtection="1">
      <alignment horizontal="center" vertical="center"/>
      <protection locked="0"/>
    </xf>
    <xf numFmtId="0" fontId="0" fillId="27" borderId="14" xfId="0" applyFill="1" applyBorder="1" applyAlignment="1" applyProtection="1">
      <alignment horizontal="center" vertical="center"/>
      <protection locked="0"/>
    </xf>
    <xf numFmtId="6" fontId="0" fillId="27" borderId="11" xfId="0" applyNumberFormat="1" applyFill="1" applyBorder="1" applyAlignment="1" applyProtection="1">
      <alignment horizontal="center"/>
      <protection locked="0"/>
    </xf>
    <xf numFmtId="9" fontId="0" fillId="27" borderId="11" xfId="44" applyFont="1" applyFill="1" applyBorder="1" applyAlignment="1" applyProtection="1">
      <alignment horizontal="center"/>
      <protection locked="0"/>
    </xf>
    <xf numFmtId="0" fontId="11" fillId="29" borderId="11" xfId="0" applyFont="1" applyFill="1" applyBorder="1" applyAlignment="1">
      <alignment horizontal="right" vertical="top"/>
    </xf>
    <xf numFmtId="0" fontId="0" fillId="27" borderId="16" xfId="0" applyFill="1" applyBorder="1" applyAlignment="1" applyProtection="1">
      <alignment horizontal="center"/>
      <protection locked="0"/>
    </xf>
    <xf numFmtId="44" fontId="0" fillId="27" borderId="69" xfId="28" applyFont="1" applyFill="1" applyBorder="1" applyProtection="1">
      <protection locked="0"/>
    </xf>
    <xf numFmtId="44" fontId="0" fillId="27" borderId="59" xfId="28" applyFont="1" applyFill="1" applyBorder="1" applyProtection="1">
      <protection locked="0"/>
    </xf>
    <xf numFmtId="44" fontId="0" fillId="27" borderId="67" xfId="28" applyFont="1" applyFill="1" applyBorder="1" applyProtection="1">
      <protection locked="0"/>
    </xf>
    <xf numFmtId="1" fontId="0" fillId="27" borderId="11" xfId="44" applyNumberFormat="1" applyFont="1" applyFill="1" applyBorder="1" applyProtection="1">
      <protection locked="0"/>
    </xf>
    <xf numFmtId="44" fontId="0" fillId="27" borderId="11" xfId="28" applyFont="1" applyFill="1" applyBorder="1" applyProtection="1">
      <protection locked="0"/>
    </xf>
    <xf numFmtId="44" fontId="8" fillId="27" borderId="11" xfId="28" applyFont="1" applyFill="1" applyBorder="1" applyAlignment="1" applyProtection="1">
      <alignment vertical="center"/>
      <protection locked="0"/>
    </xf>
    <xf numFmtId="0" fontId="8" fillId="0" borderId="42" xfId="0" applyFont="1" applyBorder="1" applyAlignment="1">
      <alignment wrapText="1"/>
    </xf>
    <xf numFmtId="0" fontId="8" fillId="0" borderId="16" xfId="0" applyFont="1" applyBorder="1" applyAlignment="1">
      <alignment wrapText="1"/>
    </xf>
    <xf numFmtId="44" fontId="8" fillId="29" borderId="0" xfId="28" applyFont="1" applyFill="1" applyBorder="1"/>
    <xf numFmtId="44" fontId="0" fillId="0" borderId="27" xfId="28" applyFont="1" applyFill="1" applyBorder="1"/>
    <xf numFmtId="44" fontId="0" fillId="0" borderId="27" xfId="0" applyNumberFormat="1" applyBorder="1"/>
    <xf numFmtId="9" fontId="0" fillId="27" borderId="14" xfId="0" applyNumberFormat="1" applyFill="1" applyBorder="1" applyAlignment="1" applyProtection="1">
      <alignment horizontal="right"/>
      <protection locked="0"/>
    </xf>
    <xf numFmtId="9" fontId="0" fillId="27" borderId="11" xfId="0" applyNumberFormat="1" applyFill="1" applyBorder="1" applyAlignment="1" applyProtection="1">
      <alignment horizontal="right"/>
      <protection locked="0"/>
    </xf>
    <xf numFmtId="0" fontId="95" fillId="54" borderId="12" xfId="0" applyFont="1" applyFill="1" applyBorder="1" applyAlignment="1">
      <alignment vertical="center"/>
    </xf>
    <xf numFmtId="6" fontId="95" fillId="54" borderId="12" xfId="0" applyNumberFormat="1" applyFont="1" applyFill="1" applyBorder="1" applyAlignment="1">
      <alignment vertical="center"/>
    </xf>
    <xf numFmtId="0" fontId="95" fillId="54" borderId="73" xfId="0" applyFont="1" applyFill="1" applyBorder="1" applyAlignment="1">
      <alignment vertical="center"/>
    </xf>
    <xf numFmtId="0" fontId="95" fillId="0" borderId="0" xfId="0" applyFont="1" applyAlignment="1">
      <alignment vertical="center"/>
    </xf>
    <xf numFmtId="6" fontId="95" fillId="0" borderId="0" xfId="0" applyNumberFormat="1" applyFont="1"/>
    <xf numFmtId="6" fontId="95" fillId="0" borderId="0" xfId="67" applyNumberFormat="1" applyFont="1" applyFill="1"/>
    <xf numFmtId="10" fontId="95" fillId="0" borderId="0" xfId="44" applyNumberFormat="1" applyFont="1" applyFill="1"/>
    <xf numFmtId="167" fontId="95" fillId="0" borderId="0" xfId="28" applyNumberFormat="1" applyFont="1" applyFill="1"/>
    <xf numFmtId="0" fontId="95" fillId="0" borderId="0" xfId="0" applyFont="1"/>
    <xf numFmtId="0" fontId="92" fillId="54" borderId="12" xfId="0" applyFont="1" applyFill="1" applyBorder="1" applyAlignment="1">
      <alignment vertical="center"/>
    </xf>
    <xf numFmtId="0" fontId="95" fillId="54" borderId="84" xfId="0" applyFont="1" applyFill="1" applyBorder="1" applyAlignment="1">
      <alignment vertical="center"/>
    </xf>
    <xf numFmtId="0" fontId="96" fillId="54" borderId="79" xfId="0" applyFont="1" applyFill="1" applyBorder="1" applyAlignment="1">
      <alignment vertical="center"/>
    </xf>
    <xf numFmtId="6" fontId="96" fillId="54" borderId="80" xfId="0" applyNumberFormat="1" applyFont="1" applyFill="1" applyBorder="1" applyAlignment="1">
      <alignment horizontal="right" vertical="center"/>
    </xf>
    <xf numFmtId="9" fontId="96" fillId="54" borderId="80" xfId="44" applyFont="1" applyFill="1" applyBorder="1" applyAlignment="1">
      <alignment vertical="center"/>
    </xf>
    <xf numFmtId="0" fontId="96" fillId="54" borderId="80" xfId="0" applyFont="1" applyFill="1" applyBorder="1" applyAlignment="1">
      <alignment vertical="center"/>
    </xf>
    <xf numFmtId="0" fontId="96" fillId="54" borderId="81" xfId="0" applyFont="1" applyFill="1" applyBorder="1" applyAlignment="1">
      <alignment vertical="center"/>
    </xf>
    <xf numFmtId="0" fontId="92" fillId="54" borderId="80" xfId="0" applyFont="1" applyFill="1" applyBorder="1" applyAlignment="1">
      <alignment vertical="center" wrapText="1"/>
    </xf>
    <xf numFmtId="0" fontId="42" fillId="27" borderId="11" xfId="0" applyFont="1" applyFill="1" applyBorder="1" applyAlignment="1" applyProtection="1">
      <alignment vertical="center"/>
      <protection locked="0"/>
    </xf>
    <xf numFmtId="9" fontId="8" fillId="27" borderId="11" xfId="0" applyNumberFormat="1" applyFont="1" applyFill="1" applyBorder="1" applyAlignment="1" applyProtection="1">
      <alignment horizontal="center" vertical="center"/>
      <protection locked="0"/>
    </xf>
    <xf numFmtId="167" fontId="0" fillId="27" borderId="21" xfId="28" applyNumberFormat="1" applyFont="1" applyFill="1" applyBorder="1" applyAlignment="1" applyProtection="1">
      <protection locked="0"/>
    </xf>
    <xf numFmtId="167" fontId="0" fillId="27" borderId="22" xfId="28" applyNumberFormat="1" applyFont="1" applyFill="1" applyBorder="1" applyAlignment="1" applyProtection="1">
      <protection locked="0"/>
    </xf>
    <xf numFmtId="0" fontId="8" fillId="27" borderId="11" xfId="63" applyFill="1" applyBorder="1" applyAlignment="1" applyProtection="1">
      <alignment horizontal="center"/>
      <protection locked="0"/>
    </xf>
    <xf numFmtId="0" fontId="8" fillId="27" borderId="42" xfId="63" applyFill="1" applyBorder="1" applyAlignment="1" applyProtection="1">
      <alignment horizontal="center"/>
      <protection locked="0"/>
    </xf>
    <xf numFmtId="6" fontId="0" fillId="27" borderId="11" xfId="0" applyNumberFormat="1" applyFill="1" applyBorder="1" applyAlignment="1" applyProtection="1">
      <alignment horizontal="center" vertical="center"/>
      <protection locked="0"/>
    </xf>
    <xf numFmtId="0" fontId="0" fillId="27" borderId="16" xfId="0" applyFill="1" applyBorder="1" applyAlignment="1" applyProtection="1">
      <alignment horizontal="center" vertical="center"/>
      <protection locked="0"/>
    </xf>
    <xf numFmtId="1" fontId="10" fillId="0" borderId="11" xfId="0" applyNumberFormat="1" applyFont="1" applyBorder="1"/>
    <xf numFmtId="171" fontId="10" fillId="0" borderId="11" xfId="0" applyNumberFormat="1" applyFont="1" applyBorder="1"/>
    <xf numFmtId="9" fontId="8" fillId="27" borderId="14" xfId="63" applyNumberFormat="1" applyFill="1" applyBorder="1" applyAlignment="1" applyProtection="1">
      <alignment horizontal="right"/>
      <protection locked="0"/>
    </xf>
    <xf numFmtId="9" fontId="8" fillId="27" borderId="11" xfId="63" applyNumberFormat="1" applyFill="1" applyBorder="1" applyAlignment="1" applyProtection="1">
      <alignment horizontal="right"/>
      <protection locked="0"/>
    </xf>
    <xf numFmtId="1" fontId="56" fillId="29" borderId="17" xfId="0" applyNumberFormat="1" applyFont="1" applyFill="1" applyBorder="1"/>
    <xf numFmtId="9" fontId="11" fillId="0" borderId="0" xfId="44" applyFont="1" applyFill="1" applyBorder="1"/>
    <xf numFmtId="165" fontId="8" fillId="0" borderId="0" xfId="0" applyNumberFormat="1" applyFont="1" applyAlignment="1">
      <alignment wrapText="1"/>
    </xf>
    <xf numFmtId="6" fontId="8" fillId="27" borderId="11" xfId="0" applyNumberFormat="1" applyFont="1" applyFill="1" applyBorder="1" applyAlignment="1" applyProtection="1">
      <alignment horizontal="right" vertical="center"/>
      <protection locked="0"/>
    </xf>
    <xf numFmtId="0" fontId="75" fillId="29" borderId="33" xfId="0" applyFont="1" applyFill="1" applyBorder="1"/>
    <xf numFmtId="0" fontId="8" fillId="0" borderId="33" xfId="63" applyBorder="1"/>
    <xf numFmtId="0" fontId="8" fillId="29" borderId="0" xfId="0" applyFont="1" applyFill="1" applyAlignment="1">
      <alignment wrapText="1"/>
    </xf>
    <xf numFmtId="6" fontId="8" fillId="29" borderId="0" xfId="0" applyNumberFormat="1" applyFont="1" applyFill="1" applyAlignment="1">
      <alignment horizontal="right"/>
    </xf>
    <xf numFmtId="0" fontId="11" fillId="0" borderId="43" xfId="0" applyFont="1" applyBorder="1" applyAlignment="1">
      <alignment horizontal="right"/>
    </xf>
    <xf numFmtId="9" fontId="11" fillId="29" borderId="14" xfId="44" applyFont="1" applyFill="1" applyBorder="1"/>
    <xf numFmtId="0" fontId="11" fillId="29" borderId="0" xfId="0" applyFont="1" applyFill="1" applyAlignment="1">
      <alignment horizontal="right"/>
    </xf>
    <xf numFmtId="9" fontId="11" fillId="29" borderId="11" xfId="44" applyFont="1" applyFill="1" applyBorder="1"/>
    <xf numFmtId="0" fontId="44" fillId="0" borderId="0" xfId="63" applyFont="1" applyAlignment="1">
      <alignment vertical="center"/>
    </xf>
    <xf numFmtId="9" fontId="11" fillId="29" borderId="0" xfId="44" applyFont="1" applyFill="1" applyBorder="1"/>
    <xf numFmtId="1" fontId="56" fillId="29" borderId="0" xfId="0" applyNumberFormat="1" applyFont="1" applyFill="1"/>
    <xf numFmtId="0" fontId="10" fillId="29" borderId="11" xfId="0" applyFont="1" applyFill="1" applyBorder="1" applyAlignment="1">
      <alignment wrapText="1"/>
    </xf>
    <xf numFmtId="0" fontId="8" fillId="27" borderId="11" xfId="0" applyFont="1" applyFill="1" applyBorder="1" applyAlignment="1" applyProtection="1">
      <alignment horizontal="center" vertical="center"/>
      <protection locked="0"/>
    </xf>
    <xf numFmtId="6" fontId="44" fillId="0" borderId="0" xfId="0" applyNumberFormat="1" applyFont="1" applyAlignment="1">
      <alignment horizontal="center"/>
    </xf>
    <xf numFmtId="0" fontId="11" fillId="0" borderId="70" xfId="0" applyFont="1" applyBorder="1" applyAlignment="1">
      <alignment horizontal="right"/>
    </xf>
    <xf numFmtId="44" fontId="44" fillId="29" borderId="0" xfId="28" applyFont="1" applyFill="1" applyBorder="1"/>
    <xf numFmtId="44" fontId="44" fillId="0" borderId="27" xfId="28" applyFont="1" applyFill="1" applyBorder="1"/>
    <xf numFmtId="44" fontId="44" fillId="0" borderId="0" xfId="0" applyNumberFormat="1" applyFont="1"/>
    <xf numFmtId="44" fontId="44" fillId="29" borderId="28" xfId="28" applyFont="1" applyFill="1" applyBorder="1"/>
    <xf numFmtId="44" fontId="44" fillId="0" borderId="0" xfId="28" applyFont="1" applyFill="1"/>
    <xf numFmtId="0" fontId="37" fillId="0" borderId="27" xfId="0" applyFont="1" applyBorder="1"/>
    <xf numFmtId="0" fontId="0" fillId="53" borderId="0" xfId="0" applyFill="1"/>
    <xf numFmtId="6" fontId="0" fillId="53" borderId="0" xfId="0" applyNumberFormat="1" applyFill="1" applyAlignment="1">
      <alignment horizontal="center" vertical="center"/>
    </xf>
    <xf numFmtId="44" fontId="8" fillId="29" borderId="0" xfId="0" applyNumberFormat="1" applyFont="1" applyFill="1" applyAlignment="1">
      <alignment horizontal="right"/>
    </xf>
    <xf numFmtId="0" fontId="8" fillId="0" borderId="11" xfId="0" applyFont="1" applyBorder="1" applyAlignment="1">
      <alignment vertical="top" wrapText="1"/>
    </xf>
    <xf numFmtId="165" fontId="0" fillId="33" borderId="0" xfId="28" applyNumberFormat="1" applyFont="1" applyFill="1" applyBorder="1" applyAlignment="1">
      <alignment horizontal="center" vertical="center"/>
    </xf>
    <xf numFmtId="165" fontId="0" fillId="33" borderId="32" xfId="28" applyNumberFormat="1" applyFont="1" applyFill="1" applyBorder="1" applyAlignment="1">
      <alignment horizontal="center" vertical="center"/>
    </xf>
    <xf numFmtId="8" fontId="0" fillId="0" borderId="27" xfId="0" applyNumberFormat="1" applyBorder="1"/>
    <xf numFmtId="0" fontId="8" fillId="0" borderId="27" xfId="0" applyFont="1" applyBorder="1"/>
    <xf numFmtId="9" fontId="8" fillId="0" borderId="27" xfId="0" applyNumberFormat="1" applyFont="1" applyBorder="1"/>
    <xf numFmtId="0" fontId="40" fillId="0" borderId="27" xfId="0" applyFont="1" applyBorder="1"/>
    <xf numFmtId="0" fontId="42" fillId="29" borderId="0" xfId="0" applyFont="1" applyFill="1" applyAlignment="1">
      <alignment horizontal="left" vertical="center" wrapText="1"/>
    </xf>
    <xf numFmtId="0" fontId="88" fillId="0" borderId="13" xfId="0" applyFont="1" applyBorder="1" applyAlignment="1">
      <alignment horizontal="right" vertical="center" wrapText="1"/>
    </xf>
    <xf numFmtId="0" fontId="11" fillId="29" borderId="16" xfId="0" applyFont="1" applyFill="1" applyBorder="1" applyAlignment="1">
      <alignment horizontal="right" vertical="center" wrapText="1"/>
    </xf>
    <xf numFmtId="0" fontId="41" fillId="29" borderId="19" xfId="0" applyFont="1" applyFill="1" applyBorder="1" applyAlignment="1">
      <alignment horizontal="left" vertical="top" wrapText="1"/>
    </xf>
    <xf numFmtId="0" fontId="41" fillId="29" borderId="0" xfId="0" applyFont="1" applyFill="1" applyAlignment="1">
      <alignment horizontal="left" vertical="top" wrapText="1"/>
    </xf>
    <xf numFmtId="0" fontId="41" fillId="29" borderId="28" xfId="0" applyFont="1" applyFill="1" applyBorder="1" applyAlignment="1">
      <alignment horizontal="left" vertical="top" wrapText="1"/>
    </xf>
    <xf numFmtId="0" fontId="41" fillId="29" borderId="19" xfId="0" applyFont="1" applyFill="1" applyBorder="1" applyAlignment="1">
      <alignment horizontal="left" wrapText="1"/>
    </xf>
    <xf numFmtId="0" fontId="41" fillId="29" borderId="0" xfId="0" applyFont="1" applyFill="1" applyAlignment="1">
      <alignment horizontal="left" wrapText="1"/>
    </xf>
    <xf numFmtId="0" fontId="41" fillId="29" borderId="28" xfId="0" applyFont="1" applyFill="1" applyBorder="1" applyAlignment="1">
      <alignment horizontal="left" wrapText="1"/>
    </xf>
    <xf numFmtId="0" fontId="49" fillId="29" borderId="33" xfId="0" applyFont="1" applyFill="1" applyBorder="1" applyAlignment="1">
      <alignment horizontal="right" vertical="center" wrapText="1"/>
    </xf>
    <xf numFmtId="0" fontId="49" fillId="29" borderId="0" xfId="0" applyFont="1" applyFill="1" applyAlignment="1">
      <alignment horizontal="right" vertical="center" wrapText="1"/>
    </xf>
    <xf numFmtId="0" fontId="41" fillId="29" borderId="0" xfId="0" applyFont="1" applyFill="1" applyAlignment="1">
      <alignment horizontal="center" vertical="top" wrapText="1"/>
    </xf>
    <xf numFmtId="0" fontId="8" fillId="0" borderId="0" xfId="0" quotePrefix="1" applyFont="1" applyAlignment="1">
      <alignment horizontal="left" wrapText="1"/>
    </xf>
    <xf numFmtId="0" fontId="42" fillId="0" borderId="0" xfId="63" applyFont="1" applyAlignment="1">
      <alignment horizontal="left" vertical="top" wrapText="1"/>
    </xf>
    <xf numFmtId="0" fontId="42" fillId="0" borderId="43" xfId="63" applyFont="1" applyBorder="1" applyAlignment="1">
      <alignment horizontal="left" vertical="top" wrapText="1"/>
    </xf>
    <xf numFmtId="0" fontId="41" fillId="0" borderId="0" xfId="0" applyFont="1"/>
    <xf numFmtId="6" fontId="41" fillId="0" borderId="0" xfId="0" applyNumberFormat="1" applyFont="1" applyAlignment="1">
      <alignment horizontal="left"/>
    </xf>
    <xf numFmtId="0" fontId="41" fillId="29" borderId="19" xfId="0" applyFont="1" applyFill="1" applyBorder="1" applyAlignment="1">
      <alignment horizontal="left"/>
    </xf>
    <xf numFmtId="0" fontId="41" fillId="29" borderId="0" xfId="0" applyFont="1" applyFill="1" applyAlignment="1">
      <alignment horizontal="left"/>
    </xf>
    <xf numFmtId="0" fontId="41" fillId="29" borderId="28" xfId="0" applyFont="1" applyFill="1" applyBorder="1" applyAlignment="1">
      <alignment horizontal="left"/>
    </xf>
    <xf numFmtId="0" fontId="10" fillId="0" borderId="12" xfId="63" applyFont="1" applyBorder="1" applyAlignment="1">
      <alignment horizontal="right"/>
    </xf>
    <xf numFmtId="165" fontId="11" fillId="0" borderId="19" xfId="0" applyNumberFormat="1" applyFont="1" applyBorder="1" applyAlignment="1">
      <alignment horizontal="left" vertical="top" wrapText="1"/>
    </xf>
    <xf numFmtId="165" fontId="11" fillId="0" borderId="0" xfId="0" applyNumberFormat="1" applyFont="1" applyAlignment="1">
      <alignment horizontal="left" vertical="top" wrapText="1"/>
    </xf>
    <xf numFmtId="0" fontId="80" fillId="40" borderId="0" xfId="68" applyFont="1" applyFill="1" applyAlignment="1">
      <alignment horizontal="center" wrapText="1"/>
    </xf>
    <xf numFmtId="0" fontId="1" fillId="0" borderId="11" xfId="68" applyBorder="1" applyAlignment="1">
      <alignment horizontal="center"/>
    </xf>
    <xf numFmtId="0" fontId="82" fillId="41" borderId="0" xfId="68" applyFont="1" applyFill="1" applyAlignment="1">
      <alignment horizontal="center" wrapText="1"/>
    </xf>
    <xf numFmtId="0" fontId="82" fillId="41" borderId="43" xfId="68" applyFont="1" applyFill="1" applyBorder="1" applyAlignment="1">
      <alignment horizontal="center" wrapText="1"/>
    </xf>
    <xf numFmtId="0" fontId="82" fillId="43" borderId="0" xfId="68" applyFont="1" applyFill="1" applyAlignment="1">
      <alignment horizontal="center" wrapText="1"/>
    </xf>
    <xf numFmtId="0" fontId="82" fillId="43" borderId="43" xfId="68" applyFont="1" applyFill="1" applyBorder="1" applyAlignment="1">
      <alignment horizontal="center" wrapText="1"/>
    </xf>
    <xf numFmtId="0" fontId="82" fillId="42" borderId="0" xfId="68" applyFont="1" applyFill="1" applyAlignment="1">
      <alignment horizontal="center" wrapText="1"/>
    </xf>
    <xf numFmtId="0" fontId="82" fillId="42" borderId="43" xfId="68" applyFont="1" applyFill="1" applyBorder="1" applyAlignment="1">
      <alignment horizontal="center" wrapText="1"/>
    </xf>
    <xf numFmtId="0" fontId="11" fillId="29" borderId="78" xfId="63" applyFont="1" applyFill="1" applyBorder="1"/>
  </cellXfs>
  <cellStyles count="7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67" builtinId="3"/>
    <cellStyle name="Comma 2" xfId="57" xr:uid="{00000000-0005-0000-0000-00001B000000}"/>
    <cellStyle name="Comma 3" xfId="61" xr:uid="{00000000-0005-0000-0000-00001C000000}"/>
    <cellStyle name="Currency" xfId="28" builtinId="4"/>
    <cellStyle name="Currency 2" xfId="52" xr:uid="{00000000-0005-0000-0000-00001E000000}"/>
    <cellStyle name="Currency 2 2" xfId="56" xr:uid="{00000000-0005-0000-0000-00001F000000}"/>
    <cellStyle name="Currency 2 3" xfId="64" xr:uid="{54B92CF2-DC33-F549-A2EC-046BD2B2D406}"/>
    <cellStyle name="Currency 3" xfId="54" xr:uid="{00000000-0005-0000-0000-000020000000}"/>
    <cellStyle name="Currency 4" xfId="59" xr:uid="{00000000-0005-0000-0000-000021000000}"/>
    <cellStyle name="Currency 5" xfId="66" xr:uid="{77741308-79E3-DF4D-B987-554A22D72CB3}"/>
    <cellStyle name="Currency 6" xfId="70" xr:uid="{7954F13C-FC39-CD49-A6E4-74701EE37E42}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10" xfId="68" xr:uid="{83847CEA-213E-6549-8A62-DFBB8A31CA2D}"/>
    <cellStyle name="Normal 2" xfId="45" xr:uid="{00000000-0005-0000-0000-00002D000000}"/>
    <cellStyle name="Normal 2 2" xfId="55" xr:uid="{00000000-0005-0000-0000-00002E000000}"/>
    <cellStyle name="Normal 2 3" xfId="63" xr:uid="{073E5740-0F4E-1143-952E-49B4E3561A97}"/>
    <cellStyle name="Normal 3" xfId="47" xr:uid="{00000000-0005-0000-0000-00002F000000}"/>
    <cellStyle name="Normal 3 2" xfId="71" xr:uid="{381C5A45-36A7-BA45-8E7E-0DF98731E2F5}"/>
    <cellStyle name="Normal 4" xfId="49" xr:uid="{00000000-0005-0000-0000-000030000000}"/>
    <cellStyle name="Normal 5" xfId="51" xr:uid="{00000000-0005-0000-0000-000031000000}"/>
    <cellStyle name="Normal 6" xfId="53" xr:uid="{00000000-0005-0000-0000-000032000000}"/>
    <cellStyle name="Normal 7" xfId="58" xr:uid="{00000000-0005-0000-0000-000033000000}"/>
    <cellStyle name="Normal 8" xfId="60" xr:uid="{00000000-0005-0000-0000-000034000000}"/>
    <cellStyle name="Normal 9" xfId="62" xr:uid="{134BEEEC-DE54-2148-8802-28946ED0A017}"/>
    <cellStyle name="Note" xfId="39" builtinId="10" customBuiltin="1"/>
    <cellStyle name="Output" xfId="40" builtinId="21" customBuiltin="1"/>
    <cellStyle name="Percent" xfId="44" builtinId="5"/>
    <cellStyle name="Percent 2" xfId="46" xr:uid="{00000000-0005-0000-0000-000039000000}"/>
    <cellStyle name="Percent 2 2" xfId="65" xr:uid="{08534AB9-3840-3F45-877E-12B738DBD5D2}"/>
    <cellStyle name="Percent 3" xfId="48" xr:uid="{00000000-0005-0000-0000-00003A000000}"/>
    <cellStyle name="Percent 4" xfId="50" xr:uid="{00000000-0005-0000-0000-00003B000000}"/>
    <cellStyle name="Percent 5" xfId="69" xr:uid="{B206071B-1B78-824C-9984-CE146D08B5E8}"/>
    <cellStyle name="Title" xfId="41" builtinId="15" customBuiltin="1"/>
    <cellStyle name="Total" xfId="42" builtinId="25" customBuiltin="1"/>
    <cellStyle name="Warning Text" xfId="43" builtinId="11" customBuiltin="1"/>
  </cellStyles>
  <dxfs count="25"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6100"/>
      </font>
      <fill>
        <patternFill>
          <bgColor rgb="FFC6EFCE"/>
        </patternFill>
      </fill>
    </dxf>
    <dxf>
      <font>
        <color rgb="FFFF0000"/>
      </font>
    </dxf>
    <dxf>
      <numFmt numFmtId="34" formatCode="_(&quot;$&quot;* #,##0.00_);_(&quot;$&quot;* \(#,##0.00\);_(&quot;$&quot;* &quot;-&quot;??_);_(@_)"/>
      <fill>
        <patternFill patternType="solid">
          <fgColor indexed="64"/>
          <bgColor theme="8" tint="0.59999389629810485"/>
        </patternFill>
      </fill>
    </dxf>
    <dxf>
      <numFmt numFmtId="34" formatCode="_(&quot;$&quot;* #,##0.00_);_(&quot;$&quot;* \(#,##0.00\);_(&quot;$&quot;* &quot;-&quot;??_);_(@_)"/>
      <fill>
        <patternFill patternType="solid">
          <fgColor indexed="64"/>
          <bgColor theme="8" tint="0.59999389629810485"/>
        </patternFill>
      </fill>
    </dxf>
    <dxf>
      <numFmt numFmtId="34" formatCode="_(&quot;$&quot;* #,##0.00_);_(&quot;$&quot;* \(#,##0.00\);_(&quot;$&quot;* &quot;-&quot;??_);_(@_)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numFmt numFmtId="34" formatCode="_(&quot;$&quot;* #,##0.00_);_(&quot;$&quot;* \(#,##0.00\);_(&quot;$&quot;* &quot;-&quot;??_);_(@_)"/>
      <fill>
        <patternFill patternType="solid">
          <fgColor indexed="64"/>
          <bgColor theme="8" tint="0.59999389629810485"/>
        </patternFill>
      </fill>
    </dxf>
    <dxf>
      <numFmt numFmtId="34" formatCode="_(&quot;$&quot;* #,##0.00_);_(&quot;$&quot;* \(#,##0.00\);_(&quot;$&quot;* &quot;-&quot;??_);_(@_)"/>
      <fill>
        <patternFill patternType="solid">
          <fgColor indexed="64"/>
          <bgColor theme="8" tint="0.59999389629810485"/>
        </patternFill>
      </fill>
    </dxf>
    <dxf>
      <numFmt numFmtId="34" formatCode="_(&quot;$&quot;* #,##0.00_);_(&quot;$&quot;* \(#,##0.00\);_(&quot;$&quot;* &quot;-&quot;??_);_(@_)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numFmt numFmtId="34" formatCode="_(&quot;$&quot;* #,##0.00_);_(&quot;$&quot;* \(#,##0.00\);_(&quot;$&quot;* &quot;-&quot;??_);_(@_)"/>
      <fill>
        <patternFill patternType="solid">
          <fgColor indexed="64"/>
          <bgColor theme="8" tint="0.59999389629810485"/>
        </patternFill>
      </fill>
    </dxf>
    <dxf>
      <numFmt numFmtId="34" formatCode="_(&quot;$&quot;* #,##0.00_);_(&quot;$&quot;* \(#,##0.00\);_(&quot;$&quot;* &quot;-&quot;??_);_(@_)"/>
      <fill>
        <patternFill patternType="solid">
          <fgColor indexed="64"/>
          <bgColor theme="8" tint="0.59999389629810485"/>
        </patternFill>
      </fill>
    </dxf>
    <dxf>
      <numFmt numFmtId="34" formatCode="_(&quot;$&quot;* #,##0.00_);_(&quot;$&quot;* \(#,##0.00\);_(&quot;$&quot;* &quot;-&quot;??_);_(@_)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CC"/>
      <color rgb="FFE9EDF1"/>
      <color rgb="FFFF66CC"/>
      <color rgb="FFFF66FF"/>
      <color rgb="FF5F7530"/>
      <color rgb="FFFDE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5 Star</a:t>
            </a:r>
            <a:endParaRPr lang="en-US" baseline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'Fed CACFP'!$C$22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'Fed CACFP'!$A$58:$A$61</c:f>
              <c:numCache>
                <c:formatCode>General</c:formatCode>
                <c:ptCount val="4"/>
              </c:numCache>
            </c:numRef>
          </c:cat>
          <c:val>
            <c:numRef>
              <c:f>'Fed CACFP'!$C$58:$C$61</c:f>
              <c:numCache>
                <c:formatCode>"$"#,##0_);[Red]\("$"#,##0\)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FEB7-B342-AA79-DF928C857F7F}"/>
            </c:ext>
          </c:extLst>
        </c:ser>
        <c:ser>
          <c:idx val="2"/>
          <c:order val="2"/>
          <c:tx>
            <c:strRef>
              <c:f>'Fed CACFP'!$D$22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'Fed CACFP'!$A$58:$A$61</c:f>
              <c:numCache>
                <c:formatCode>General</c:formatCode>
                <c:ptCount val="4"/>
              </c:numCache>
            </c:numRef>
          </c:cat>
          <c:val>
            <c:numRef>
              <c:f>'Fed CACFP'!$D$58:$D$61</c:f>
              <c:numCache>
                <c:formatCode>"$"#,##0_);[Red]\("$"#,##0\)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FEB7-B342-AA79-DF928C857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4"/>
        <c:overlap val="100"/>
        <c:axId val="1341280512"/>
        <c:axId val="1341282160"/>
      </c:barChart>
      <c:lineChart>
        <c:grouping val="standard"/>
        <c:varyColors val="0"/>
        <c:ser>
          <c:idx val="0"/>
          <c:order val="0"/>
          <c:tx>
            <c:strRef>
              <c:f>'Fed CACFP'!$B$22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3"/>
            <c:spPr>
              <a:solidFill>
                <a:schemeClr val="accent1"/>
              </a:solidFill>
              <a:ln w="38100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1.1094517866760082E-2"/>
                  <c:y val="-4.1415924586058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B7-B342-AA79-DF928C857F7F}"/>
                </c:ext>
              </c:extLst>
            </c:dLbl>
            <c:dLbl>
              <c:idx val="1"/>
              <c:layout>
                <c:manualLayout>
                  <c:x val="1.1094517866760082E-2"/>
                  <c:y val="-5.5221232781410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B7-B342-AA79-DF928C857F7F}"/>
                </c:ext>
              </c:extLst>
            </c:dLbl>
            <c:dLbl>
              <c:idx val="2"/>
              <c:layout>
                <c:manualLayout>
                  <c:x val="0"/>
                  <c:y val="-5.5221232781410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B7-B342-AA79-DF928C857F7F}"/>
                </c:ext>
              </c:extLst>
            </c:dLbl>
            <c:dLbl>
              <c:idx val="3"/>
              <c:layout>
                <c:manualLayout>
                  <c:x val="0"/>
                  <c:y val="-7.36283103752145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B7-B342-AA79-DF928C857F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'Fed CACFP'!$A$58:$A$61</c:f>
              <c:numCache>
                <c:formatCode>General</c:formatCode>
                <c:ptCount val="4"/>
              </c:numCache>
            </c:numRef>
          </c:cat>
          <c:val>
            <c:numRef>
              <c:f>'Fed CACFP'!$B$58:$B$61</c:f>
              <c:numCache>
                <c:formatCode>_("$"* #,##0_);_("$"* \(#,##0\);_("$"* "-"??_);_(@_)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B7-B342-AA79-DF928C857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1280512"/>
        <c:axId val="1341282160"/>
      </c:lineChart>
      <c:catAx>
        <c:axId val="1341280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1282160"/>
        <c:crosses val="autoZero"/>
        <c:auto val="1"/>
        <c:lblAlgn val="ctr"/>
        <c:lblOffset val="100"/>
        <c:noMultiLvlLbl val="0"/>
      </c:catAx>
      <c:valAx>
        <c:axId val="134128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1280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76974</xdr:colOff>
      <xdr:row>0</xdr:row>
      <xdr:rowOff>158111</xdr:rowOff>
    </xdr:from>
    <xdr:to>
      <xdr:col>9</xdr:col>
      <xdr:colOff>1242427</xdr:colOff>
      <xdr:row>2</xdr:row>
      <xdr:rowOff>118025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596AC02-B4AC-9143-F1A8-2289592B9E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23822" y="158111"/>
          <a:ext cx="1927453" cy="7743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587266</xdr:colOff>
      <xdr:row>0</xdr:row>
      <xdr:rowOff>187434</xdr:rowOff>
    </xdr:from>
    <xdr:to>
      <xdr:col>9</xdr:col>
      <xdr:colOff>1334044</xdr:colOff>
      <xdr:row>2</xdr:row>
      <xdr:rowOff>118206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FB26775-A1A9-F84E-AC3A-442270D184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09366" y="187434"/>
          <a:ext cx="1927878" cy="7562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74</xdr:row>
      <xdr:rowOff>85968</xdr:rowOff>
    </xdr:from>
    <xdr:to>
      <xdr:col>12</xdr:col>
      <xdr:colOff>572476</xdr:colOff>
      <xdr:row>91</xdr:row>
      <xdr:rowOff>22469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68A2A65-E16E-B147-B2E5-E7AFE2FA56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99cb6bf57e6c3811/North%20Carolina%20PCI/NC-Center%20based%20mod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99cb6bf57e6c3811/New%20Mexico/North%20Carolina%20PCI/NC-Center%20based%20mode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nterforamericanprogress-my.sharepoint.com/personal/sworkman_americanprogress_org/Documents/PCQC%20update%20project/PCQC%20nonpersonnel%20updat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riablesINPUT-CTR"/>
      <sheetName val="Quality Center Profile"/>
      <sheetName val="Ratios"/>
      <sheetName val="Wages"/>
      <sheetName val="Wages BLS"/>
      <sheetName val="Nonpersonnel Aggregated"/>
      <sheetName val="Nonpersonnel disaggregated"/>
      <sheetName val="Tuition Rates"/>
      <sheetName val="Subsidy rates"/>
      <sheetName val="PreK"/>
      <sheetName val="Fed CACFP"/>
      <sheetName val="County Subsidy r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riablesINPUT-CTR"/>
      <sheetName val="Quality Center Profile"/>
      <sheetName val="Ratios"/>
      <sheetName val="Wages"/>
      <sheetName val="Wages BLS"/>
      <sheetName val="Nonpersonnel Aggregated"/>
      <sheetName val="Nonpersonnel from interviews"/>
      <sheetName val="Tuition Rates"/>
      <sheetName val="Subsidy rates"/>
      <sheetName val="PreK"/>
      <sheetName val="Fed CACFP"/>
      <sheetName val="County Subsidy rates"/>
    </sheetNames>
    <sheetDataSet>
      <sheetData sheetId="0"/>
      <sheetData sheetId="1"/>
      <sheetData sheetId="2"/>
      <sheetData sheetId="3" refreshError="1"/>
      <sheetData sheetId="4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CQC Nonpersonnel data 2020 (2)"/>
      <sheetName val="Template"/>
      <sheetName val="COLA"/>
      <sheetName val="PCQC Nonpersonnel data 2020"/>
    </sheetNames>
    <sheetDataSet>
      <sheetData sheetId="0"/>
      <sheetData sheetId="1"/>
      <sheetData sheetId="2"/>
      <sheetData sheetId="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D34D550-3DBD-1244-946B-9ADF43551BCE}" name="Table1" displayName="Table1" ref="A4:F11" totalsRowShown="0">
  <tableColumns count="6">
    <tableColumn id="1" xr3:uid="{E0EE4CE2-E1D1-F546-96D2-7EE663B6A4AB}" name="Family Composition"/>
    <tableColumn id="2" xr3:uid="{2DFD9D32-2CBB-4C43-89F2-B2F12B76CD8F}" name="% assumption" dataDxfId="24" dataCellStyle="Percent"/>
    <tableColumn id="3" xr3:uid="{997C25A5-B445-834A-AC8B-84B58532A120}" name="Living Wage LA County" dataDxfId="23" dataCellStyle="Currency"/>
    <tableColumn id="4" xr3:uid="{F6F3AF63-838C-6F45-9D6E-8AF89A4B21D0}" name="weighted amt" dataDxfId="22"/>
    <tableColumn id="5" xr3:uid="{31C344BC-F983-754E-85BD-A132A7F0AC10}" name="Column1" dataDxfId="21"/>
    <tableColumn id="6" xr3:uid="{8A96AD5F-0EF3-6243-9D25-E971FD329387}" name="Column2" dataDxfId="20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41D2898-8291-9E42-BDA3-86D7C2DA6E00}" name="Table110" displayName="Table110" ref="A14:F22" totalsRowShown="0">
  <tableColumns count="6">
    <tableColumn id="1" xr3:uid="{59033985-4264-7B47-8114-3F9F0CAAB7D3}" name="Family Composition"/>
    <tableColumn id="2" xr3:uid="{AE334D38-9F25-5F4E-9DF5-5490A3C1F9DB}" name="% assumption" dataDxfId="19" dataCellStyle="Percent"/>
    <tableColumn id="3" xr3:uid="{983772ED-F8A5-264C-873D-2A4F50965907}" name="Living Wage LA County" dataDxfId="18" dataCellStyle="Currency"/>
    <tableColumn id="4" xr3:uid="{7C0BABED-F554-0D41-A508-A8537AE7E866}" name="weighted amt" dataDxfId="17"/>
    <tableColumn id="5" xr3:uid="{C9DE07DE-3BAF-B64A-BBA8-ABA4DCC9EAD1}" name="Self Sufficiency" dataDxfId="16"/>
    <tableColumn id="6" xr3:uid="{133E6EE9-121D-1042-8BC9-B3E7EBF27148}" name="weighted" dataDxfId="15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ED19C56-CD35-3F4F-B766-C321E37D78A8}" name="Table11012" displayName="Table11012" ref="A23:F30" totalsRowShown="0">
  <tableColumns count="6">
    <tableColumn id="1" xr3:uid="{758B6257-EB33-864A-940A-734B66C1F40F}" name="Family Composition"/>
    <tableColumn id="2" xr3:uid="{6A3CD881-F9F4-FA46-84B5-72EDFA9FDF2E}" name="% assumption" dataDxfId="14" dataCellStyle="Percent"/>
    <tableColumn id="3" xr3:uid="{45BA424D-6CF3-6749-BBC1-B49589B32CF6}" name="Living Wage LA County" dataDxfId="13" dataCellStyle="Currency"/>
    <tableColumn id="4" xr3:uid="{3ABAD42F-19D1-9447-A158-F704BC3A10AF}" name="weighted amt" dataDxfId="12"/>
    <tableColumn id="5" xr3:uid="{64CF94B3-787B-6648-ACF8-CF3D6280EC73}" name="Column1" dataDxfId="11"/>
    <tableColumn id="6" xr3:uid="{A05CBF8F-3A1C-8343-9CB6-A71DC420B45E}" name="Column2" dataDxfId="10"/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7C81933-5436-8F4F-AC7C-EEEC30243C31}" name="Table1101213" displayName="Table1101213" ref="A33:F40" totalsRowShown="0">
  <tableColumns count="6">
    <tableColumn id="1" xr3:uid="{AC3A2E79-D477-9643-87C1-05A2FC351DA6}" name="Family Composition"/>
    <tableColumn id="2" xr3:uid="{13AF3FAF-7C52-F846-A93A-6745CE77A7AD}" name="% assumption" dataDxfId="9" dataCellStyle="Percent"/>
    <tableColumn id="3" xr3:uid="{221A4529-19DD-7146-B2EC-B1FE3CC48F3B}" name="Living Wage LA County" dataDxfId="8" dataCellStyle="Currency"/>
    <tableColumn id="4" xr3:uid="{5C6359DC-1426-0A49-BC14-08046A4DF5F8}" name="weighted amt" dataDxfId="7"/>
    <tableColumn id="5" xr3:uid="{779D2056-6302-0B4A-97C2-D9FEB53EBB27}" name="Column1" dataDxfId="6"/>
    <tableColumn id="6" xr3:uid="{17765710-4225-FE4E-80A6-27FD0D7D51C1}" name="Column2" dataDxfId="5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bls.gov/oes/current/oes_mt.htm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dphhs.mt.gov/assets/ecfsd/childcare/documentsandresources/BBSReimbursementRates23.pdf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govinfo.gov/content/pkg/FR-2023-07-07/pdf/2023-14317.pdf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3.vml"/><Relationship Id="rId6" Type="http://schemas.openxmlformats.org/officeDocument/2006/relationships/comments" Target="../comments3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499984740745262"/>
  </sheetPr>
  <dimension ref="A1:U102"/>
  <sheetViews>
    <sheetView tabSelected="1" workbookViewId="0">
      <selection activeCell="F8" sqref="F8"/>
    </sheetView>
  </sheetViews>
  <sheetFormatPr baseColWidth="10" defaultColWidth="8.83203125" defaultRowHeight="13"/>
  <cols>
    <col min="1" max="1" width="3.1640625" style="591" customWidth="1"/>
    <col min="2" max="2" width="25.6640625" customWidth="1"/>
    <col min="3" max="3" width="21" customWidth="1"/>
    <col min="4" max="4" width="26.5" customWidth="1"/>
    <col min="5" max="5" width="19" customWidth="1"/>
    <col min="6" max="6" width="16.5" customWidth="1"/>
    <col min="7" max="7" width="18.83203125" customWidth="1"/>
    <col min="8" max="8" width="12.83203125" customWidth="1"/>
    <col min="9" max="9" width="10" customWidth="1"/>
    <col min="10" max="10" width="16.83203125" customWidth="1"/>
    <col min="11" max="11" width="14" customWidth="1"/>
    <col min="12" max="12" width="10" customWidth="1"/>
    <col min="13" max="13" width="10.5" customWidth="1"/>
    <col min="14" max="14" width="11" customWidth="1"/>
    <col min="15" max="15" width="10" customWidth="1"/>
  </cols>
  <sheetData>
    <row r="1" spans="1:19" ht="43" customHeight="1" thickTop="1">
      <c r="A1" s="655"/>
      <c r="B1" s="708" t="s">
        <v>0</v>
      </c>
      <c r="C1" s="656"/>
      <c r="D1" s="656"/>
      <c r="E1" s="656"/>
      <c r="F1" s="656"/>
      <c r="G1" s="656"/>
      <c r="H1" s="657" t="s">
        <v>1</v>
      </c>
      <c r="I1" s="658" t="s">
        <v>2</v>
      </c>
      <c r="J1" s="659" t="s">
        <v>3</v>
      </c>
      <c r="K1" s="78" t="s">
        <v>4</v>
      </c>
      <c r="L1" s="78" t="s">
        <v>5</v>
      </c>
      <c r="M1" s="78" t="s">
        <v>6</v>
      </c>
      <c r="N1" s="78"/>
    </row>
    <row r="2" spans="1:19" ht="21" customHeight="1">
      <c r="A2" s="660"/>
      <c r="B2" s="661" t="s">
        <v>7</v>
      </c>
      <c r="C2" s="661"/>
      <c r="D2" s="634" t="s">
        <v>8</v>
      </c>
      <c r="E2" s="810" t="s">
        <v>1</v>
      </c>
      <c r="F2" s="591"/>
      <c r="G2" s="925"/>
      <c r="H2" s="702"/>
      <c r="I2" s="676"/>
      <c r="J2" s="663"/>
      <c r="K2" s="78"/>
      <c r="L2" s="78"/>
      <c r="M2" s="78"/>
      <c r="N2" s="78"/>
    </row>
    <row r="3" spans="1:19" ht="22" customHeight="1">
      <c r="A3" s="660"/>
      <c r="B3" s="914" t="s">
        <v>9</v>
      </c>
      <c r="C3" s="914"/>
      <c r="D3" s="634" t="s">
        <v>10</v>
      </c>
      <c r="E3" s="811" t="s">
        <v>11</v>
      </c>
      <c r="F3" s="591"/>
      <c r="G3" s="925"/>
      <c r="H3" s="662"/>
      <c r="I3" s="591"/>
      <c r="J3" s="663"/>
      <c r="K3" s="78" t="s">
        <v>11</v>
      </c>
      <c r="L3" s="78"/>
      <c r="M3" s="78"/>
      <c r="N3" s="78"/>
    </row>
    <row r="4" spans="1:19" ht="16" customHeight="1">
      <c r="A4" s="660"/>
      <c r="B4" s="914"/>
      <c r="C4" s="914"/>
      <c r="D4" s="591"/>
      <c r="E4" s="591"/>
      <c r="F4" s="617"/>
      <c r="G4" s="925"/>
      <c r="H4" s="591"/>
      <c r="I4" s="664"/>
      <c r="J4" s="665"/>
      <c r="K4" s="80"/>
      <c r="L4" s="80"/>
      <c r="M4" s="80"/>
    </row>
    <row r="5" spans="1:19">
      <c r="A5" s="660"/>
      <c r="B5" s="914"/>
      <c r="C5" s="914"/>
      <c r="D5" s="666"/>
      <c r="E5" s="666"/>
      <c r="F5" s="666"/>
      <c r="G5" s="666"/>
      <c r="H5" s="666"/>
      <c r="I5" s="666"/>
      <c r="J5" s="667"/>
    </row>
    <row r="6" spans="1:19">
      <c r="A6" s="660"/>
      <c r="B6" s="591"/>
      <c r="C6" s="591"/>
      <c r="D6" s="591"/>
      <c r="E6" s="591"/>
      <c r="F6" s="591"/>
      <c r="G6" s="591"/>
      <c r="H6" s="591"/>
      <c r="I6" s="668"/>
      <c r="J6" s="669"/>
      <c r="K6" s="64"/>
      <c r="L6" s="25"/>
      <c r="M6" s="26"/>
    </row>
    <row r="7" spans="1:19">
      <c r="A7" s="660"/>
      <c r="B7" s="616" t="s">
        <v>12</v>
      </c>
      <c r="C7" s="609"/>
      <c r="D7" s="609"/>
      <c r="E7" s="609"/>
      <c r="F7" s="609"/>
      <c r="G7" s="609"/>
      <c r="H7" s="609"/>
      <c r="I7" s="640"/>
      <c r="J7" s="670"/>
      <c r="K7" s="64"/>
      <c r="L7" s="25"/>
      <c r="M7" s="26"/>
    </row>
    <row r="8" spans="1:19" ht="26" customHeight="1">
      <c r="A8" s="660"/>
      <c r="B8" s="818" t="s">
        <v>13</v>
      </c>
      <c r="C8" s="596" t="s">
        <v>14</v>
      </c>
      <c r="D8" s="819" t="s">
        <v>15</v>
      </c>
      <c r="E8" s="819" t="s">
        <v>16</v>
      </c>
      <c r="F8" s="821" t="s">
        <v>17</v>
      </c>
      <c r="G8" s="820"/>
      <c r="H8" s="823" t="s">
        <v>18</v>
      </c>
      <c r="I8" s="824" t="s">
        <v>19</v>
      </c>
      <c r="J8" s="667"/>
      <c r="K8" s="25"/>
    </row>
    <row r="9" spans="1:19" ht="15" customHeight="1">
      <c r="A9" s="660"/>
      <c r="B9" s="592" t="s">
        <v>495</v>
      </c>
      <c r="C9" s="812">
        <f>F9*E9</f>
        <v>12</v>
      </c>
      <c r="D9" s="813">
        <f>IF(H9&gt;0,H9,IF($E$2="Licensing",Variables!B3,IF($E$2="Star 1",Variables!B3,IF($E$2="Star 2",Variables!C3,IF($E$2="Star 3",Variables!D3,IF($E$2="Star 4",Variables!E3,IF($E$2="Star 5",Variables!F3,FALSE)))))))</f>
        <v>4</v>
      </c>
      <c r="E9" s="812">
        <f>IF(I9&gt;0,I9,IF($E$2="Licensing",Variables!B10,IF($E$2="Star 1",Variables!B10,IF($E$2="Star 2",Variables!C10,IF($E$2="Star 3",Variables!D10,IF($E$2="Star 4",Variables!E10,IF($E$2="Star 5",Variables!F10,FALSE)))))))</f>
        <v>12</v>
      </c>
      <c r="F9" s="816">
        <v>1</v>
      </c>
      <c r="G9" s="915" t="s">
        <v>493</v>
      </c>
      <c r="H9" s="817">
        <v>0</v>
      </c>
      <c r="I9" s="817">
        <v>0</v>
      </c>
      <c r="J9" s="669"/>
      <c r="K9" s="37"/>
      <c r="L9" s="28"/>
    </row>
    <row r="10" spans="1:19" ht="15" customHeight="1">
      <c r="A10" s="660"/>
      <c r="B10" s="592" t="s">
        <v>496</v>
      </c>
      <c r="C10" s="812">
        <f>F10*E10</f>
        <v>12</v>
      </c>
      <c r="D10" s="813">
        <f>IF(H10&gt;0,H10,IF($E$2="Licensing",Variables!B4,IF($E$2="Star 1",Variables!B4,IF($E$2="Star 2",Variables!C4,IF($E$2="Star 3",Variables!D4,IF($E$2="Star 4",Variables!E4,IF($E$2="Star 5",Variables!F4,FALSE)))))))</f>
        <v>6</v>
      </c>
      <c r="E10" s="812">
        <f>IF(I10&gt;0,I10,IF($E$2="Licensing",Variables!B11,IF($E$2="Star 1",Variables!B11,IF($E$2="Star 2",Variables!C11,IF($E$2="Star 3",Variables!D11,IF($E$2="Star 4",Variables!E11,IF($E$2="Star 5",Variables!F11,FALSE)))))))</f>
        <v>12</v>
      </c>
      <c r="F10" s="816">
        <v>1</v>
      </c>
      <c r="G10" s="915"/>
      <c r="H10" s="817">
        <v>0</v>
      </c>
      <c r="I10" s="817">
        <v>0</v>
      </c>
      <c r="J10" s="669"/>
      <c r="K10" s="37"/>
      <c r="L10" s="28"/>
    </row>
    <row r="11" spans="1:19" ht="15" customHeight="1">
      <c r="A11" s="660"/>
      <c r="B11" s="592" t="s">
        <v>20</v>
      </c>
      <c r="C11" s="812">
        <f>F11*E11</f>
        <v>16</v>
      </c>
      <c r="D11" s="813">
        <f>IF(H11&gt;0,H11,IF($E$2="Licensing",Variables!B5,IF($E$2="Star 1",Variables!B5,IF($E$2="Star 2",Variables!C5,IF($E$2="Star 3",Variables!D5,IF($E$2="Star 4",Variables!E5,IF($E$2="Star 5",Variables!F5,FALSE)))))))</f>
        <v>8</v>
      </c>
      <c r="E11" s="813">
        <f>IF(I11&gt;0,I11,IF($E$2="Licensing",Variables!B12,IF($E$2="Star 1",Variables!B12,IF($E$2="Star 2",Variables!C12,IF($E$2="Star 3",Variables!D12,IF($E$2="Star 4",Variables!E12,IF($E$2="Star 5",Variables!F12,FALSE)))))))</f>
        <v>16</v>
      </c>
      <c r="F11" s="93">
        <v>1</v>
      </c>
      <c r="G11" s="915"/>
      <c r="H11" s="814">
        <v>0</v>
      </c>
      <c r="I11" s="814">
        <v>0</v>
      </c>
      <c r="J11" s="669"/>
      <c r="K11" s="37"/>
      <c r="L11" s="28"/>
    </row>
    <row r="12" spans="1:19" ht="15" customHeight="1">
      <c r="A12" s="660"/>
      <c r="B12" s="592" t="s">
        <v>21</v>
      </c>
      <c r="C12" s="812">
        <f>F12*E12</f>
        <v>20</v>
      </c>
      <c r="D12" s="813">
        <f>IF(H12&gt;0,H12,IF($E$2="Licensing",Variables!B6,IF($E$2="Star 1",Variables!B6,IF($E$2="Star 2",Variables!C6,IF($E$2="Star 3",Variables!D6,IF($E$2="Star 4",Variables!E6,IF($E$2="Star 5",Variables!F6,FALSE)))))))</f>
        <v>10</v>
      </c>
      <c r="E12" s="813">
        <f>IF(I12&gt;0,I12,IF($E$2="Licensing",Variables!B13,IF($E$2="Star 1",Variables!B13,IF($E$2="Star 2",Variables!C13,IF($E$2="Star 3",Variables!D13,IF($E$2="Star 4",Variables!E13,IF($E$2="Star 5",Variables!F13,FALSE)))))))</f>
        <v>20</v>
      </c>
      <c r="F12" s="93">
        <v>1</v>
      </c>
      <c r="G12" s="915"/>
      <c r="H12" s="814">
        <v>0</v>
      </c>
      <c r="I12" s="814">
        <v>0</v>
      </c>
      <c r="J12" s="669"/>
      <c r="K12" s="37"/>
      <c r="L12" s="28"/>
    </row>
    <row r="13" spans="1:19" ht="15" customHeight="1">
      <c r="A13" s="660"/>
      <c r="B13" s="592" t="s">
        <v>22</v>
      </c>
      <c r="C13" s="812">
        <f>F13*E13</f>
        <v>40</v>
      </c>
      <c r="D13" s="813">
        <f>IF(H13&gt;0,H13,IF($E$2="Licensing",Variables!B7,IF($E$2="Star 1",Variables!B7,IF($E$2="Star 2",Variables!C7,IF($E$2="Star 3",Variables!D7,IF($E$2="Star 4",Variables!E7,IF($E$2="Star 5",Variables!F7,FALSE)))))))</f>
        <v>20</v>
      </c>
      <c r="E13" s="813">
        <f>IF(I13&gt;0,I13,IF($E$2="Licensing",Variables!B14,IF($E$2="Star 1",Variables!B14,IF($E$2="Star 2",Variables!C14,IF($E$2="Star 3",Variables!D14,IF($E$2="Star 4",Variables!E14,IF($E$2="Star 5",Variables!F14,FALSE)))))))</f>
        <v>40</v>
      </c>
      <c r="F13" s="822">
        <v>1</v>
      </c>
      <c r="G13" s="915"/>
      <c r="H13" s="815">
        <v>0</v>
      </c>
      <c r="I13" s="815">
        <v>0</v>
      </c>
      <c r="J13" s="669"/>
      <c r="K13" s="78"/>
      <c r="L13" s="78"/>
      <c r="M13" s="78"/>
      <c r="N13" s="78"/>
      <c r="O13" s="78"/>
      <c r="P13" s="78"/>
      <c r="Q13" s="78"/>
      <c r="R13" s="78"/>
    </row>
    <row r="14" spans="1:19" ht="15" customHeight="1">
      <c r="A14" s="660"/>
      <c r="B14" s="595" t="s">
        <v>23</v>
      </c>
      <c r="C14" s="596">
        <f>SUM(C9:C13)</f>
        <v>100</v>
      </c>
      <c r="D14" s="706"/>
      <c r="E14" s="597" t="s">
        <v>24</v>
      </c>
      <c r="F14" s="598">
        <f>SUM(F9:F13)</f>
        <v>5</v>
      </c>
      <c r="G14" s="703"/>
      <c r="H14" s="704"/>
      <c r="I14" s="705"/>
      <c r="J14" s="669"/>
      <c r="K14" s="78"/>
      <c r="L14" s="78"/>
      <c r="M14" s="78"/>
      <c r="N14" s="78"/>
      <c r="O14" s="78"/>
      <c r="P14" s="78"/>
      <c r="Q14" s="78"/>
      <c r="R14" s="78"/>
    </row>
    <row r="15" spans="1:19" ht="15" customHeight="1" thickBot="1">
      <c r="A15" s="660"/>
      <c r="B15" s="591"/>
      <c r="C15" s="591"/>
      <c r="D15" s="591"/>
      <c r="E15" s="591"/>
      <c r="F15" s="591"/>
      <c r="G15" s="591"/>
      <c r="H15" s="591"/>
      <c r="I15" s="591"/>
      <c r="J15" s="669"/>
    </row>
    <row r="16" spans="1:19" ht="15" customHeight="1">
      <c r="A16" s="660"/>
      <c r="B16" s="591"/>
      <c r="C16" s="591"/>
      <c r="D16" s="591"/>
      <c r="E16" s="591"/>
      <c r="F16" s="591"/>
      <c r="G16" s="617" t="s">
        <v>25</v>
      </c>
      <c r="H16" s="591"/>
      <c r="I16" s="591"/>
      <c r="J16" s="671"/>
      <c r="K16" s="653" t="s">
        <v>26</v>
      </c>
      <c r="L16" s="461"/>
      <c r="M16" s="461"/>
      <c r="N16" s="461"/>
      <c r="O16" s="461"/>
      <c r="P16" s="461"/>
      <c r="Q16" s="461"/>
      <c r="R16" s="461"/>
      <c r="S16" s="462"/>
    </row>
    <row r="17" spans="1:19" ht="15" customHeight="1">
      <c r="A17" s="660"/>
      <c r="B17" s="613" t="s">
        <v>27</v>
      </c>
      <c r="C17" s="614"/>
      <c r="D17" s="615"/>
      <c r="E17" s="615" t="s">
        <v>28</v>
      </c>
      <c r="F17" s="615" t="s">
        <v>29</v>
      </c>
      <c r="G17" s="615"/>
      <c r="H17" s="615" t="s">
        <v>30</v>
      </c>
      <c r="I17" s="615"/>
      <c r="J17" s="670"/>
      <c r="K17" s="611" t="s">
        <v>31</v>
      </c>
      <c r="L17" s="511" t="str">
        <f>RatioOpt</f>
        <v>Licensing</v>
      </c>
      <c r="M17" s="638"/>
      <c r="N17" s="638"/>
      <c r="O17" s="638"/>
      <c r="P17" s="639"/>
      <c r="Q17" s="638"/>
      <c r="R17" s="638"/>
      <c r="S17" s="463"/>
    </row>
    <row r="18" spans="1:19" ht="15" customHeight="1" thickBot="1">
      <c r="A18" s="660"/>
      <c r="B18" s="672" t="s">
        <v>32</v>
      </c>
      <c r="C18" s="612" t="s">
        <v>33</v>
      </c>
      <c r="D18" s="825" t="s">
        <v>302</v>
      </c>
      <c r="E18" s="923" t="s">
        <v>36</v>
      </c>
      <c r="F18" s="662"/>
      <c r="G18" s="591"/>
      <c r="H18" s="664"/>
      <c r="I18" s="674"/>
      <c r="J18" s="675"/>
      <c r="K18" s="638"/>
      <c r="L18" s="568" t="str">
        <f>Wages!B2</f>
        <v>BLS</v>
      </c>
      <c r="M18" s="570"/>
      <c r="N18" s="568" t="str">
        <f>Wages!C2</f>
        <v>BLS, $15 min wage adjusted</v>
      </c>
      <c r="O18" s="570"/>
      <c r="P18" s="568" t="str">
        <f>Wages!D2</f>
        <v>Living Wage</v>
      </c>
      <c r="Q18" s="570"/>
      <c r="R18" s="568" t="str">
        <f>Wages!E2</f>
        <v>User added</v>
      </c>
      <c r="S18" s="569"/>
    </row>
    <row r="19" spans="1:19" ht="15" customHeight="1">
      <c r="A19" s="660"/>
      <c r="B19" s="673"/>
      <c r="C19" s="593"/>
      <c r="E19" s="924"/>
      <c r="F19" s="100" t="s">
        <v>37</v>
      </c>
      <c r="G19" s="241" t="s">
        <v>38</v>
      </c>
      <c r="H19" s="97" t="s">
        <v>39</v>
      </c>
      <c r="I19" s="676"/>
      <c r="J19" s="669"/>
      <c r="K19" s="610" t="s">
        <v>40</v>
      </c>
      <c r="L19" s="531" t="s">
        <v>41</v>
      </c>
      <c r="M19" s="532" t="s">
        <v>42</v>
      </c>
      <c r="N19" s="531" t="s">
        <v>41</v>
      </c>
      <c r="O19" s="532" t="s">
        <v>42</v>
      </c>
      <c r="P19" s="531" t="s">
        <v>41</v>
      </c>
      <c r="Q19" s="532" t="s">
        <v>42</v>
      </c>
      <c r="R19" s="531" t="s">
        <v>41</v>
      </c>
      <c r="S19" s="533" t="s">
        <v>42</v>
      </c>
    </row>
    <row r="20" spans="1:19" ht="15" customHeight="1" thickBot="1">
      <c r="A20" s="660"/>
      <c r="B20" s="666"/>
      <c r="C20" s="591"/>
      <c r="D20" s="591"/>
      <c r="E20" s="924"/>
      <c r="F20" s="826">
        <v>32.229999999999997</v>
      </c>
      <c r="G20" s="827">
        <v>24.8</v>
      </c>
      <c r="H20" s="828">
        <v>24.8</v>
      </c>
      <c r="I20" s="591"/>
      <c r="J20" s="669"/>
      <c r="K20" s="610" t="s">
        <v>43</v>
      </c>
      <c r="L20" s="464">
        <f>Wages!B3</f>
        <v>48950</v>
      </c>
      <c r="M20" s="527">
        <f>L20/2080</f>
        <v>23.533653846153847</v>
      </c>
      <c r="N20" s="464">
        <f>Wages!C3</f>
        <v>57675.226586102719</v>
      </c>
      <c r="O20" s="527">
        <f>N20/2080</f>
        <v>27.728474320241691</v>
      </c>
      <c r="P20" s="464">
        <f>Wages!D3</f>
        <v>98973.734927724814</v>
      </c>
      <c r="Q20" s="527">
        <f>P20/2080</f>
        <v>47.583526407560008</v>
      </c>
      <c r="R20" s="464">
        <f>Wages!E3</f>
        <v>100199.37954198472</v>
      </c>
      <c r="S20" s="528">
        <f>R20/2080</f>
        <v>48.172778625954187</v>
      </c>
    </row>
    <row r="21" spans="1:19" ht="15" customHeight="1">
      <c r="A21" s="660"/>
      <c r="B21" s="591"/>
      <c r="C21" s="591"/>
      <c r="D21" s="591"/>
      <c r="E21" s="617"/>
      <c r="F21" s="688" t="s">
        <v>274</v>
      </c>
      <c r="G21" s="906" t="s">
        <v>274</v>
      </c>
      <c r="H21" s="688" t="s">
        <v>274</v>
      </c>
      <c r="I21" s="591"/>
      <c r="J21" s="677"/>
      <c r="K21" s="610" t="s">
        <v>44</v>
      </c>
      <c r="L21" s="464">
        <f>Wages!B4</f>
        <v>39160</v>
      </c>
      <c r="M21" s="527">
        <f t="shared" ref="M21:O26" si="0">L21/2080</f>
        <v>18.826923076923077</v>
      </c>
      <c r="N21" s="464">
        <f>Wages!C4</f>
        <v>46140.181268882181</v>
      </c>
      <c r="O21" s="527">
        <f t="shared" si="0"/>
        <v>22.182779456193355</v>
      </c>
      <c r="P21" s="464">
        <f>Wages!D4</f>
        <v>81796.47514688001</v>
      </c>
      <c r="Q21" s="527">
        <f t="shared" ref="Q21" si="1">P21/2080</f>
        <v>39.325228436000003</v>
      </c>
      <c r="R21" s="464">
        <f>Wages!E4</f>
        <v>80159.503633587781</v>
      </c>
      <c r="S21" s="528">
        <f t="shared" ref="S21" si="2">R21/2080</f>
        <v>38.538222900763358</v>
      </c>
    </row>
    <row r="22" spans="1:19" ht="15" customHeight="1">
      <c r="A22" s="660"/>
      <c r="B22" s="608" t="s">
        <v>45</v>
      </c>
      <c r="C22" s="609"/>
      <c r="D22" s="609"/>
      <c r="E22" s="609"/>
      <c r="F22" s="609"/>
      <c r="G22" s="609"/>
      <c r="H22" s="609"/>
      <c r="I22" s="609"/>
      <c r="J22" s="670"/>
      <c r="K22" s="610" t="s">
        <v>46</v>
      </c>
      <c r="L22" s="464">
        <f>Wages!B5</f>
        <v>40460</v>
      </c>
      <c r="M22" s="527">
        <f t="shared" si="0"/>
        <v>19.451923076923077</v>
      </c>
      <c r="N22" s="464">
        <f>Wages!C5</f>
        <v>31200</v>
      </c>
      <c r="O22" s="527">
        <f t="shared" si="0"/>
        <v>15</v>
      </c>
      <c r="P22" s="464">
        <f>Wages!D5</f>
        <v>51574.070079999998</v>
      </c>
      <c r="Q22" s="527">
        <f t="shared" ref="Q22" si="3">P22/2080</f>
        <v>24.795226</v>
      </c>
      <c r="R22" s="464">
        <f>Wages!E5</f>
        <v>51584</v>
      </c>
      <c r="S22" s="528">
        <f t="shared" ref="S22" si="4">R22/2080</f>
        <v>24.8</v>
      </c>
    </row>
    <row r="23" spans="1:19" ht="15" customHeight="1">
      <c r="A23" s="660"/>
      <c r="B23" s="678"/>
      <c r="C23" s="600" t="s">
        <v>47</v>
      </c>
      <c r="D23" s="825" t="s">
        <v>63</v>
      </c>
      <c r="E23" s="599" t="s">
        <v>49</v>
      </c>
      <c r="F23" s="591"/>
      <c r="G23" s="591"/>
      <c r="H23" s="591"/>
      <c r="I23" s="591"/>
      <c r="J23" s="669"/>
      <c r="K23" s="610" t="s">
        <v>37</v>
      </c>
      <c r="L23" s="464">
        <f>Wages!B6</f>
        <v>32750</v>
      </c>
      <c r="M23" s="527">
        <f t="shared" si="0"/>
        <v>15.745192307692308</v>
      </c>
      <c r="N23" s="464">
        <f>Wages!C6</f>
        <v>38587.613293051356</v>
      </c>
      <c r="O23" s="527">
        <f t="shared" si="0"/>
        <v>18.551737160120844</v>
      </c>
      <c r="P23" s="464">
        <f>Wages!D6</f>
        <v>67046.291104000004</v>
      </c>
      <c r="Q23" s="527">
        <f t="shared" ref="Q23" si="5">P23/2080</f>
        <v>32.233793800000001</v>
      </c>
      <c r="R23" s="464">
        <f>Wages!E6</f>
        <v>67038.399999999994</v>
      </c>
      <c r="S23" s="528">
        <f t="shared" ref="S23" si="6">R23/2080</f>
        <v>32.229999999999997</v>
      </c>
    </row>
    <row r="24" spans="1:19" ht="15" customHeight="1">
      <c r="A24" s="660"/>
      <c r="B24" s="666"/>
      <c r="C24" s="600" t="s">
        <v>50</v>
      </c>
      <c r="D24" s="829">
        <v>0</v>
      </c>
      <c r="E24" s="599" t="s">
        <v>51</v>
      </c>
      <c r="F24" s="591"/>
      <c r="G24" s="591"/>
      <c r="H24" s="591"/>
      <c r="I24" s="591"/>
      <c r="J24" s="669"/>
      <c r="K24" s="610" t="s">
        <v>38</v>
      </c>
      <c r="L24" s="464">
        <f>Wages!B7</f>
        <v>26480</v>
      </c>
      <c r="M24" s="527">
        <f t="shared" si="0"/>
        <v>12.73076923076923</v>
      </c>
      <c r="N24" s="464">
        <f>Wages!C7</f>
        <v>31200</v>
      </c>
      <c r="O24" s="527">
        <f t="shared" si="0"/>
        <v>15</v>
      </c>
      <c r="P24" s="464">
        <f>Wages!D7</f>
        <v>51574.070079999998</v>
      </c>
      <c r="Q24" s="527">
        <f t="shared" ref="Q24" si="7">P24/2080</f>
        <v>24.795226</v>
      </c>
      <c r="R24" s="464">
        <f>Wages!E7</f>
        <v>51584</v>
      </c>
      <c r="S24" s="528">
        <f t="shared" ref="S24" si="8">R24/2080</f>
        <v>24.8</v>
      </c>
    </row>
    <row r="25" spans="1:19" ht="15" customHeight="1">
      <c r="A25" s="660"/>
      <c r="B25" s="591"/>
      <c r="C25" s="600" t="s">
        <v>52</v>
      </c>
      <c r="D25" s="830">
        <v>10</v>
      </c>
      <c r="E25" s="662" t="s">
        <v>53</v>
      </c>
      <c r="F25" s="591"/>
      <c r="G25" s="591"/>
      <c r="H25" s="591"/>
      <c r="I25" s="591"/>
      <c r="J25" s="669"/>
      <c r="K25" s="610" t="s">
        <v>54</v>
      </c>
      <c r="L25" s="464">
        <f>Wages!B8</f>
        <v>26480</v>
      </c>
      <c r="M25" s="527">
        <f t="shared" si="0"/>
        <v>12.73076923076923</v>
      </c>
      <c r="N25" s="464">
        <f>Wages!C8</f>
        <v>31200</v>
      </c>
      <c r="O25" s="527">
        <f t="shared" si="0"/>
        <v>15</v>
      </c>
      <c r="P25" s="464">
        <f>Wages!D8</f>
        <v>51574.070079999998</v>
      </c>
      <c r="Q25" s="527">
        <f t="shared" ref="Q25" si="9">P25/2080</f>
        <v>24.795226</v>
      </c>
      <c r="R25" s="464">
        <f>Wages!E8</f>
        <v>51584</v>
      </c>
      <c r="S25" s="528">
        <f t="shared" ref="S25" si="10">R25/2080</f>
        <v>24.8</v>
      </c>
    </row>
    <row r="26" spans="1:19" ht="15" customHeight="1" thickBot="1">
      <c r="A26" s="660"/>
      <c r="B26" s="591"/>
      <c r="C26" s="601" t="s">
        <v>55</v>
      </c>
      <c r="D26" s="831">
        <v>10</v>
      </c>
      <c r="E26" s="662" t="s">
        <v>56</v>
      </c>
      <c r="F26" s="591"/>
      <c r="G26" s="591"/>
      <c r="H26" s="591"/>
      <c r="I26" s="591"/>
      <c r="J26" s="669"/>
      <c r="K26" s="654" t="s">
        <v>57</v>
      </c>
      <c r="L26" s="514">
        <f>Wages!B9</f>
        <v>45031.25</v>
      </c>
      <c r="M26" s="529">
        <f t="shared" si="0"/>
        <v>21.649639423076923</v>
      </c>
      <c r="N26" s="514">
        <f>Wages!C9</f>
        <v>53057.968277945612</v>
      </c>
      <c r="O26" s="529">
        <f t="shared" si="0"/>
        <v>25.508638595166161</v>
      </c>
      <c r="P26" s="514">
        <f>Wages!D9</f>
        <v>92188.650267999998</v>
      </c>
      <c r="Q26" s="529">
        <f t="shared" ref="Q26" si="11">P26/2080</f>
        <v>44.321466475000001</v>
      </c>
      <c r="R26" s="514">
        <f>Wages!F9</f>
        <v>117000</v>
      </c>
      <c r="S26" s="530">
        <f t="shared" ref="S26" si="12">R26/2080</f>
        <v>56.25</v>
      </c>
    </row>
    <row r="27" spans="1:19" ht="15" customHeight="1">
      <c r="A27" s="660"/>
      <c r="B27" s="591"/>
      <c r="C27" s="617"/>
      <c r="D27" s="618"/>
      <c r="E27" s="662"/>
      <c r="F27" s="591"/>
      <c r="G27" s="591"/>
      <c r="H27" s="591"/>
      <c r="I27" s="591"/>
      <c r="J27" s="669"/>
      <c r="K27" s="650" t="s">
        <v>58</v>
      </c>
      <c r="L27" s="651"/>
      <c r="M27" s="652"/>
      <c r="N27" s="651"/>
      <c r="O27" s="652"/>
      <c r="P27" s="651"/>
      <c r="Q27" s="652"/>
      <c r="R27" s="651"/>
      <c r="S27" s="652"/>
    </row>
    <row r="28" spans="1:19" ht="15" customHeight="1">
      <c r="A28" s="660"/>
      <c r="B28" s="608" t="s">
        <v>59</v>
      </c>
      <c r="C28" s="609"/>
      <c r="D28" s="609"/>
      <c r="E28" s="609"/>
      <c r="F28" s="609"/>
      <c r="G28" s="609"/>
      <c r="H28" s="609"/>
      <c r="I28" s="609"/>
      <c r="J28" s="670"/>
      <c r="S28" s="260"/>
    </row>
    <row r="29" spans="1:19" ht="15" customHeight="1">
      <c r="A29" s="660"/>
      <c r="B29" s="43" t="s">
        <v>60</v>
      </c>
      <c r="C29" s="64" t="s">
        <v>61</v>
      </c>
      <c r="D29" s="832">
        <v>1</v>
      </c>
      <c r="E29" s="679"/>
      <c r="F29" s="666"/>
      <c r="G29" s="666"/>
      <c r="H29" s="591"/>
      <c r="I29" s="591"/>
      <c r="J29" s="669"/>
      <c r="L29" s="78" t="s">
        <v>62</v>
      </c>
      <c r="M29" s="78" t="s">
        <v>63</v>
      </c>
      <c r="N29" s="78" t="s">
        <v>48</v>
      </c>
      <c r="O29" s="78" t="s">
        <v>64</v>
      </c>
      <c r="P29" s="78" t="s">
        <v>65</v>
      </c>
    </row>
    <row r="30" spans="1:19" ht="15" customHeight="1">
      <c r="A30" s="660"/>
      <c r="B30" s="43" t="s">
        <v>66</v>
      </c>
      <c r="C30" s="64" t="s">
        <v>67</v>
      </c>
      <c r="D30" s="814">
        <v>0</v>
      </c>
      <c r="E30" s="607" t="s">
        <v>68</v>
      </c>
      <c r="F30" s="833">
        <v>2000</v>
      </c>
      <c r="G30" s="591"/>
      <c r="H30" s="666"/>
      <c r="I30" s="591"/>
      <c r="J30" s="669"/>
      <c r="L30" s="78"/>
      <c r="M30" s="78"/>
      <c r="N30" s="78"/>
      <c r="O30" s="78"/>
      <c r="P30" s="78"/>
    </row>
    <row r="31" spans="1:19" ht="15" customHeight="1">
      <c r="A31" s="660"/>
      <c r="B31" s="602" t="s">
        <v>69</v>
      </c>
      <c r="C31" s="9"/>
      <c r="D31" s="707"/>
      <c r="E31" s="591"/>
      <c r="F31" s="591"/>
      <c r="G31" s="591"/>
      <c r="H31" s="636"/>
      <c r="I31" s="591"/>
      <c r="J31" s="680"/>
      <c r="K31" s="642"/>
      <c r="L31" s="585"/>
      <c r="M31" s="10"/>
    </row>
    <row r="32" spans="1:19" ht="15" customHeight="1">
      <c r="A32" s="660"/>
      <c r="B32" s="604" t="s">
        <v>70</v>
      </c>
      <c r="C32" s="64" t="s">
        <v>71</v>
      </c>
      <c r="D32" s="830">
        <v>0</v>
      </c>
      <c r="E32" s="835" t="s">
        <v>72</v>
      </c>
      <c r="F32" s="833">
        <v>500</v>
      </c>
      <c r="G32" s="591"/>
      <c r="H32" s="636"/>
      <c r="I32" s="591"/>
      <c r="J32" s="681"/>
      <c r="K32" s="642"/>
      <c r="L32" s="83"/>
      <c r="M32" s="455"/>
      <c r="N32" s="455"/>
      <c r="O32" s="455"/>
      <c r="P32" s="455"/>
      <c r="Q32" s="455"/>
      <c r="R32" s="455"/>
    </row>
    <row r="33" spans="1:21" ht="15" customHeight="1">
      <c r="A33" s="660"/>
      <c r="B33" s="604" t="s">
        <v>73</v>
      </c>
      <c r="C33" s="64" t="s">
        <v>74</v>
      </c>
      <c r="D33" s="833">
        <v>0</v>
      </c>
      <c r="E33" s="662"/>
      <c r="F33" s="591"/>
      <c r="G33" s="591"/>
      <c r="H33" s="591"/>
      <c r="I33" s="591"/>
      <c r="J33" s="681"/>
      <c r="K33" s="642"/>
      <c r="L33" s="83"/>
      <c r="M33" s="455"/>
      <c r="N33" s="455"/>
      <c r="O33" s="455"/>
      <c r="P33" s="455"/>
      <c r="Q33" s="455"/>
      <c r="R33" s="455"/>
    </row>
    <row r="34" spans="1:21" ht="15" customHeight="1">
      <c r="A34" s="660"/>
      <c r="B34" s="43"/>
      <c r="D34" s="707"/>
      <c r="E34" s="591"/>
      <c r="F34" s="591"/>
      <c r="G34" s="591"/>
      <c r="H34" s="591"/>
      <c r="I34" s="591"/>
      <c r="J34" s="681"/>
      <c r="K34" s="642"/>
      <c r="L34" s="10"/>
      <c r="M34" s="10"/>
      <c r="N34" s="10"/>
      <c r="O34" s="10"/>
      <c r="P34" s="10"/>
      <c r="Q34" s="10"/>
      <c r="R34" s="10"/>
    </row>
    <row r="35" spans="1:21" ht="15" customHeight="1">
      <c r="A35" s="660"/>
      <c r="B35" s="605" t="s">
        <v>75</v>
      </c>
      <c r="C35" s="606" t="s">
        <v>76</v>
      </c>
      <c r="D35" s="834">
        <v>0.05</v>
      </c>
      <c r="E35" s="662"/>
      <c r="F35" s="635"/>
      <c r="G35" s="666"/>
      <c r="H35" s="591"/>
      <c r="I35" s="591"/>
      <c r="J35" s="681"/>
      <c r="K35" s="642"/>
      <c r="L35" s="642"/>
      <c r="M35" s="643"/>
      <c r="N35" s="643"/>
      <c r="O35" s="643"/>
      <c r="P35" s="643"/>
      <c r="Q35" s="643"/>
      <c r="R35" s="643"/>
    </row>
    <row r="36" spans="1:21" ht="15" customHeight="1">
      <c r="A36" s="660"/>
      <c r="B36" s="617"/>
      <c r="C36" s="591"/>
      <c r="D36" s="591"/>
      <c r="E36" s="662"/>
      <c r="F36" s="635"/>
      <c r="G36" s="591"/>
      <c r="H36" s="591"/>
      <c r="I36" s="591"/>
      <c r="J36" s="681"/>
      <c r="K36" s="642"/>
      <c r="L36" s="644"/>
      <c r="M36" s="644"/>
      <c r="N36" s="644"/>
      <c r="O36" s="644"/>
      <c r="P36" s="644"/>
      <c r="Q36" s="644"/>
      <c r="R36" s="644"/>
    </row>
    <row r="37" spans="1:21" ht="15" customHeight="1">
      <c r="A37" s="660"/>
      <c r="B37" s="608" t="s">
        <v>77</v>
      </c>
      <c r="C37" s="609"/>
      <c r="D37" s="609"/>
      <c r="E37" s="624"/>
      <c r="F37" s="623"/>
      <c r="G37" s="609"/>
      <c r="H37" s="609"/>
      <c r="I37" s="609"/>
      <c r="J37" s="670"/>
      <c r="K37" s="15"/>
      <c r="L37" s="10"/>
      <c r="M37" s="10"/>
      <c r="N37" s="10"/>
      <c r="O37" s="10"/>
      <c r="P37" s="10"/>
      <c r="Q37" s="10"/>
      <c r="R37" s="10"/>
      <c r="T37" s="78" t="s">
        <v>78</v>
      </c>
      <c r="U37" s="78" t="s">
        <v>79</v>
      </c>
    </row>
    <row r="38" spans="1:21" ht="15" customHeight="1" thickBot="1">
      <c r="A38" s="660"/>
      <c r="B38" s="5"/>
      <c r="C38" s="836" t="s">
        <v>78</v>
      </c>
      <c r="D38" s="5" t="s">
        <v>80</v>
      </c>
      <c r="E38" s="5"/>
      <c r="F38" s="635"/>
      <c r="G38" s="591"/>
      <c r="H38" s="591"/>
      <c r="I38" s="591"/>
      <c r="J38" s="682"/>
      <c r="K38" s="590"/>
      <c r="L38" s="896"/>
      <c r="M38" s="896"/>
      <c r="N38" s="896"/>
      <c r="O38" s="896"/>
      <c r="P38" s="896"/>
      <c r="Q38" s="896"/>
      <c r="R38" s="896"/>
    </row>
    <row r="39" spans="1:21" ht="15" customHeight="1">
      <c r="A39" s="660"/>
      <c r="B39" s="91" t="s">
        <v>81</v>
      </c>
      <c r="C39" s="598" t="s">
        <v>82</v>
      </c>
      <c r="D39" s="567" t="s">
        <v>83</v>
      </c>
      <c r="E39" s="897" t="s">
        <v>84</v>
      </c>
      <c r="F39" s="591"/>
      <c r="G39" s="591"/>
      <c r="H39" s="591"/>
      <c r="I39" s="591"/>
      <c r="J39" s="682"/>
      <c r="K39" s="590"/>
      <c r="L39" s="896"/>
      <c r="M39" s="896"/>
      <c r="N39" s="896"/>
      <c r="O39" s="896"/>
      <c r="P39" s="896"/>
      <c r="Q39" s="896"/>
      <c r="R39" s="896"/>
    </row>
    <row r="40" spans="1:21" ht="15" customHeight="1">
      <c r="A40" s="660"/>
      <c r="B40" s="42" t="s">
        <v>85</v>
      </c>
      <c r="C40" s="620">
        <f t="shared" ref="C40:C45" si="13">IF($C$38="Default Value",D40,E40)</f>
        <v>198117.04173</v>
      </c>
      <c r="D40" s="564">
        <f>NP_EdProgram</f>
        <v>198117.04173</v>
      </c>
      <c r="E40" s="837"/>
      <c r="F40" s="917" t="s">
        <v>86</v>
      </c>
      <c r="G40" s="918"/>
      <c r="H40" s="918"/>
      <c r="I40" s="918"/>
      <c r="J40" s="919"/>
      <c r="K40" s="455"/>
      <c r="L40" s="455"/>
      <c r="M40" s="896"/>
      <c r="N40" s="896"/>
      <c r="O40" s="896"/>
      <c r="P40" s="896"/>
      <c r="Q40" s="896"/>
      <c r="R40" s="896"/>
    </row>
    <row r="41" spans="1:21" ht="15" customHeight="1">
      <c r="A41" s="660"/>
      <c r="B41" s="42" t="s">
        <v>87</v>
      </c>
      <c r="C41" s="620">
        <f t="shared" si="13"/>
        <v>83722.100000000006</v>
      </c>
      <c r="D41" s="564">
        <f>NP_Occupancy</f>
        <v>83722.100000000006</v>
      </c>
      <c r="E41" s="838"/>
      <c r="F41" s="674" t="s">
        <v>88</v>
      </c>
      <c r="G41" s="641"/>
      <c r="H41" s="641"/>
      <c r="I41" s="641"/>
      <c r="J41" s="683"/>
      <c r="K41" s="645"/>
      <c r="L41" s="645"/>
      <c r="M41" s="896"/>
      <c r="N41" s="896"/>
      <c r="O41" s="896"/>
      <c r="P41" s="896"/>
      <c r="Q41" s="896"/>
      <c r="R41" s="896"/>
    </row>
    <row r="42" spans="1:21" ht="15" customHeight="1">
      <c r="A42" s="660"/>
      <c r="B42" s="42" t="s">
        <v>89</v>
      </c>
      <c r="C42" s="620">
        <f t="shared" si="13"/>
        <v>34074.024859999998</v>
      </c>
      <c r="D42" s="564">
        <f>NP_MgtAdmin</f>
        <v>34074.024859999998</v>
      </c>
      <c r="E42" s="838"/>
      <c r="F42" s="920" t="s">
        <v>90</v>
      </c>
      <c r="G42" s="921"/>
      <c r="H42" s="921"/>
      <c r="I42" s="921"/>
      <c r="J42" s="922"/>
      <c r="K42" s="645"/>
      <c r="L42" s="645"/>
      <c r="M42" s="896"/>
      <c r="N42" s="896"/>
      <c r="O42" s="896"/>
      <c r="P42" s="896"/>
      <c r="Q42" s="896"/>
      <c r="R42" s="896"/>
    </row>
    <row r="43" spans="1:21" ht="15" customHeight="1">
      <c r="A43" s="660"/>
      <c r="B43" s="42" t="s">
        <v>91</v>
      </c>
      <c r="C43" s="620">
        <f t="shared" si="13"/>
        <v>3000</v>
      </c>
      <c r="D43" s="564">
        <f>'Quality Center Profile'!E54</f>
        <v>3000</v>
      </c>
      <c r="E43" s="838"/>
      <c r="F43" s="591"/>
      <c r="G43" s="591"/>
      <c r="H43" s="591"/>
      <c r="I43" s="591"/>
      <c r="J43" s="898"/>
      <c r="K43" s="899"/>
      <c r="L43" s="900"/>
      <c r="M43" s="78"/>
      <c r="N43" s="78"/>
      <c r="O43" s="78"/>
      <c r="P43" s="78"/>
      <c r="Q43" s="78"/>
      <c r="R43" s="78"/>
    </row>
    <row r="44" spans="1:21" ht="15" customHeight="1">
      <c r="A44" s="660"/>
      <c r="B44" s="42" t="s">
        <v>92</v>
      </c>
      <c r="C44" s="620">
        <f t="shared" si="13"/>
        <v>0</v>
      </c>
      <c r="D44" s="564">
        <f>'Quality Center Profile'!E55</f>
        <v>0</v>
      </c>
      <c r="E44" s="838"/>
      <c r="F44" s="591"/>
      <c r="G44" s="591"/>
      <c r="H44" s="591"/>
      <c r="I44" s="591"/>
      <c r="J44" s="687"/>
      <c r="K44" s="846"/>
      <c r="L44" s="246"/>
    </row>
    <row r="45" spans="1:21" ht="15" customHeight="1" thickBot="1">
      <c r="A45" s="660"/>
      <c r="B45" s="619" t="s">
        <v>93</v>
      </c>
      <c r="C45" s="621">
        <f t="shared" si="13"/>
        <v>0</v>
      </c>
      <c r="D45" s="565">
        <f>'Quality Center Profile'!E56</f>
        <v>0</v>
      </c>
      <c r="E45" s="839"/>
      <c r="F45" s="591"/>
      <c r="G45" s="591"/>
      <c r="H45" s="591"/>
      <c r="I45" s="591"/>
      <c r="J45" s="687"/>
      <c r="K45" s="846"/>
      <c r="L45" s="246"/>
    </row>
    <row r="46" spans="1:21" ht="15" customHeight="1">
      <c r="A46" s="660"/>
      <c r="B46" s="617"/>
      <c r="C46" s="591"/>
      <c r="D46" s="591"/>
      <c r="E46" s="662"/>
      <c r="F46" s="635"/>
      <c r="G46" s="591"/>
      <c r="H46" s="591"/>
      <c r="I46" s="591"/>
      <c r="J46" s="845"/>
      <c r="K46" s="798"/>
      <c r="L46" s="246"/>
    </row>
    <row r="47" spans="1:21" ht="15" customHeight="1">
      <c r="A47" s="660"/>
      <c r="B47" s="608" t="s">
        <v>94</v>
      </c>
      <c r="C47" s="622"/>
      <c r="D47" s="623"/>
      <c r="E47" s="624"/>
      <c r="F47" s="609"/>
      <c r="G47" s="609"/>
      <c r="H47" s="609"/>
      <c r="I47" s="609"/>
      <c r="J47" s="609"/>
      <c r="K47" s="846"/>
      <c r="L47" s="246"/>
    </row>
    <row r="48" spans="1:21" ht="15" customHeight="1">
      <c r="A48" s="660"/>
      <c r="B48" s="685" t="s">
        <v>95</v>
      </c>
      <c r="E48" s="662"/>
      <c r="F48" s="591"/>
      <c r="G48" s="591"/>
      <c r="H48" s="591"/>
      <c r="I48" s="591"/>
      <c r="J48" s="687"/>
      <c r="K48" s="847"/>
    </row>
    <row r="49" spans="1:14" ht="15" customHeight="1">
      <c r="A49" s="660"/>
      <c r="B49" s="515"/>
      <c r="C49" s="517" t="s">
        <v>96</v>
      </c>
      <c r="D49" s="517" t="s">
        <v>97</v>
      </c>
      <c r="E49" s="637"/>
      <c r="F49" s="686" t="s">
        <v>98</v>
      </c>
      <c r="G49" s="591"/>
      <c r="H49" s="591"/>
      <c r="I49" s="591"/>
      <c r="J49" s="591"/>
      <c r="K49" s="903"/>
      <c r="L49" s="31"/>
      <c r="M49" s="31"/>
    </row>
    <row r="50" spans="1:14" ht="15" customHeight="1">
      <c r="A50" s="660"/>
      <c r="B50" s="843" t="str">
        <f>B9</f>
        <v>Infant (0-11 months)</v>
      </c>
      <c r="C50" s="840">
        <v>1</v>
      </c>
      <c r="D50" s="224">
        <f t="shared" ref="D50:D55" si="14">C9-C50</f>
        <v>11</v>
      </c>
      <c r="E50" s="916" t="s">
        <v>99</v>
      </c>
      <c r="F50" s="841">
        <v>1500</v>
      </c>
      <c r="G50" s="591"/>
      <c r="H50" s="591"/>
      <c r="I50" s="591"/>
      <c r="J50" s="591"/>
      <c r="K50" s="903"/>
      <c r="L50" s="31"/>
      <c r="M50" s="31"/>
    </row>
    <row r="51" spans="1:14" ht="15" customHeight="1">
      <c r="A51" s="660"/>
      <c r="B51" s="844" t="str">
        <f>B10</f>
        <v>Toddler (12-23 months)</v>
      </c>
      <c r="C51" s="840">
        <v>1</v>
      </c>
      <c r="D51" s="224">
        <f t="shared" si="14"/>
        <v>11</v>
      </c>
      <c r="E51" s="916"/>
      <c r="F51" s="841">
        <v>1400</v>
      </c>
      <c r="G51" s="591"/>
      <c r="H51" s="591"/>
      <c r="I51" s="591"/>
      <c r="J51" s="591"/>
      <c r="K51" s="903"/>
      <c r="L51" s="31"/>
      <c r="M51" s="31"/>
    </row>
    <row r="52" spans="1:14" ht="15" customHeight="1">
      <c r="A52" s="660"/>
      <c r="B52" s="844" t="str">
        <f>B11</f>
        <v>2-3 years</v>
      </c>
      <c r="C52" s="840">
        <v>0</v>
      </c>
      <c r="D52" s="224">
        <f t="shared" si="14"/>
        <v>16</v>
      </c>
      <c r="E52" s="916"/>
      <c r="F52" s="841">
        <v>1200</v>
      </c>
      <c r="G52" s="591"/>
      <c r="H52" s="591"/>
      <c r="I52" s="591"/>
      <c r="J52" s="669"/>
      <c r="K52" s="31"/>
      <c r="L52" s="31"/>
      <c r="M52" s="31"/>
    </row>
    <row r="53" spans="1:14" ht="15" customHeight="1">
      <c r="A53" s="660"/>
      <c r="B53" s="844" t="str">
        <f>B12</f>
        <v>3-5 year-olds</v>
      </c>
      <c r="C53" s="840">
        <v>1</v>
      </c>
      <c r="D53" s="224">
        <f t="shared" si="14"/>
        <v>19</v>
      </c>
      <c r="E53" s="916"/>
      <c r="F53" s="841">
        <v>1000</v>
      </c>
      <c r="G53" s="591"/>
      <c r="H53" s="591"/>
      <c r="I53" s="591"/>
      <c r="J53" s="669"/>
      <c r="K53" s="31"/>
      <c r="L53" s="31"/>
      <c r="M53" s="31"/>
    </row>
    <row r="54" spans="1:14" ht="15" customHeight="1">
      <c r="A54" s="660"/>
      <c r="B54" s="844" t="str">
        <f>B13</f>
        <v>School age</v>
      </c>
      <c r="C54" s="840">
        <v>0</v>
      </c>
      <c r="D54" s="224">
        <f t="shared" si="14"/>
        <v>40</v>
      </c>
      <c r="E54" s="916"/>
      <c r="F54" s="841">
        <v>800</v>
      </c>
      <c r="G54" s="591"/>
      <c r="H54" s="591"/>
      <c r="I54" s="687"/>
      <c r="J54" s="669"/>
      <c r="K54" s="31"/>
      <c r="L54" s="31"/>
      <c r="M54" s="31"/>
    </row>
    <row r="55" spans="1:14" ht="15" customHeight="1">
      <c r="A55" s="660"/>
      <c r="B55" s="81" t="s">
        <v>160</v>
      </c>
      <c r="C55" s="225">
        <f>SUM(C50:C54)</f>
        <v>3</v>
      </c>
      <c r="D55" s="224">
        <f t="shared" si="14"/>
        <v>97</v>
      </c>
      <c r="E55" s="591"/>
      <c r="F55" s="625"/>
      <c r="G55" s="591"/>
      <c r="H55" s="591"/>
      <c r="I55" s="591"/>
      <c r="J55" s="669"/>
      <c r="K55" s="31"/>
      <c r="L55" s="31"/>
      <c r="M55" s="31"/>
    </row>
    <row r="56" spans="1:14" ht="15" customHeight="1">
      <c r="A56" s="660"/>
      <c r="B56" s="889" t="s">
        <v>101</v>
      </c>
      <c r="C56" s="890">
        <f>C55/C14</f>
        <v>0.03</v>
      </c>
      <c r="D56" s="879"/>
      <c r="E56" s="591"/>
      <c r="F56" s="591"/>
      <c r="G56" s="591"/>
      <c r="H56" s="591"/>
      <c r="I56" s="591"/>
      <c r="J56" s="669"/>
      <c r="K56" s="31"/>
      <c r="L56" s="31"/>
      <c r="M56" s="31"/>
    </row>
    <row r="57" spans="1:14" ht="15" customHeight="1">
      <c r="A57" s="660"/>
      <c r="B57" s="889"/>
      <c r="C57" s="892"/>
      <c r="D57" s="893"/>
      <c r="E57" s="591"/>
      <c r="F57" s="591"/>
      <c r="G57" s="591"/>
      <c r="H57" s="591"/>
      <c r="I57" s="591"/>
      <c r="J57" s="669"/>
      <c r="K57" s="78"/>
      <c r="L57" s="78"/>
      <c r="M57" s="78"/>
    </row>
    <row r="58" spans="1:14" ht="28">
      <c r="A58" s="660"/>
      <c r="B58" s="190" t="s">
        <v>102</v>
      </c>
      <c r="C58" s="895" t="s">
        <v>65</v>
      </c>
      <c r="D58" s="662" t="s">
        <v>104</v>
      </c>
      <c r="E58" s="591"/>
      <c r="F58" s="591"/>
      <c r="G58" s="591"/>
      <c r="H58" s="591"/>
      <c r="I58" s="591"/>
      <c r="J58" s="669"/>
      <c r="K58" s="78"/>
      <c r="L58" s="78"/>
      <c r="M58" s="78"/>
    </row>
    <row r="59" spans="1:14" ht="28">
      <c r="A59" s="660"/>
      <c r="B59" s="190" t="s">
        <v>105</v>
      </c>
      <c r="C59" s="895" t="s">
        <v>103</v>
      </c>
      <c r="D59" s="892" t="s">
        <v>106</v>
      </c>
      <c r="E59" s="591"/>
      <c r="F59" s="591"/>
      <c r="G59" s="591"/>
      <c r="H59" s="591"/>
      <c r="I59" s="591"/>
      <c r="J59" s="669"/>
      <c r="K59" s="78"/>
      <c r="L59" s="78" t="s">
        <v>103</v>
      </c>
      <c r="M59" s="78" t="s">
        <v>65</v>
      </c>
    </row>
    <row r="60" spans="1:14" ht="42">
      <c r="A60" s="660"/>
      <c r="B60" s="907" t="s">
        <v>107</v>
      </c>
      <c r="C60" s="842">
        <v>0</v>
      </c>
      <c r="D60" s="626"/>
      <c r="E60" s="591"/>
      <c r="F60" s="591"/>
      <c r="G60" s="591"/>
      <c r="H60" s="591"/>
      <c r="I60" s="591"/>
      <c r="J60" s="669"/>
      <c r="L60" s="646"/>
      <c r="N60" s="629"/>
    </row>
    <row r="61" spans="1:14">
      <c r="A61" s="660"/>
      <c r="B61" s="591"/>
      <c r="C61" s="591"/>
      <c r="D61" s="591"/>
      <c r="E61" s="591"/>
      <c r="F61" s="591"/>
      <c r="G61" s="591"/>
      <c r="H61" s="591"/>
      <c r="I61" s="591"/>
      <c r="J61" s="669"/>
    </row>
    <row r="62" spans="1:14" ht="13" customHeight="1">
      <c r="A62" s="660"/>
      <c r="B62" s="608" t="s">
        <v>108</v>
      </c>
      <c r="C62" s="609"/>
      <c r="D62" s="609"/>
      <c r="E62" s="609"/>
      <c r="F62" s="609"/>
      <c r="G62" s="609"/>
      <c r="H62" s="628"/>
      <c r="I62" s="609"/>
      <c r="J62" s="670"/>
    </row>
    <row r="63" spans="1:14">
      <c r="A63" s="660"/>
      <c r="B63" s="689" t="s">
        <v>109</v>
      </c>
      <c r="C63" s="848">
        <v>0.85</v>
      </c>
      <c r="D63" s="662" t="s">
        <v>110</v>
      </c>
      <c r="E63" s="591"/>
      <c r="F63" s="591"/>
      <c r="G63" s="591"/>
      <c r="H63" s="591"/>
      <c r="I63" s="591"/>
      <c r="J63" s="669"/>
    </row>
    <row r="64" spans="1:14">
      <c r="A64" s="660"/>
      <c r="B64" s="689" t="s">
        <v>111</v>
      </c>
      <c r="C64" s="849">
        <v>0.03</v>
      </c>
      <c r="D64" s="662" t="s">
        <v>112</v>
      </c>
      <c r="E64" s="591"/>
      <c r="F64" s="591"/>
      <c r="G64" s="591"/>
      <c r="H64" s="591"/>
      <c r="I64" s="591"/>
      <c r="J64" s="669"/>
    </row>
    <row r="65" spans="1:16">
      <c r="A65" s="660"/>
      <c r="B65" s="690"/>
      <c r="C65" s="689"/>
      <c r="D65" s="591"/>
      <c r="E65" s="627"/>
      <c r="F65" s="662"/>
      <c r="G65" s="591"/>
      <c r="H65" s="591"/>
      <c r="I65" s="591"/>
      <c r="J65" s="669"/>
    </row>
    <row r="66" spans="1:16" s="858" customFormat="1" ht="16">
      <c r="A66" s="860"/>
      <c r="B66" s="859" t="s">
        <v>113</v>
      </c>
      <c r="C66" s="850"/>
      <c r="D66" s="851"/>
      <c r="E66" s="850"/>
      <c r="F66" s="850"/>
      <c r="G66" s="850"/>
      <c r="H66" s="850"/>
      <c r="I66" s="850"/>
      <c r="J66" s="852"/>
      <c r="K66" s="853"/>
      <c r="L66" s="854"/>
      <c r="M66" s="855"/>
      <c r="N66" s="856"/>
      <c r="O66" s="857"/>
      <c r="P66" s="854"/>
    </row>
    <row r="67" spans="1:16" ht="14" thickBot="1">
      <c r="A67" s="660"/>
      <c r="B67" s="591"/>
      <c r="C67" s="617"/>
      <c r="D67" s="635"/>
      <c r="E67" s="662"/>
      <c r="F67" s="591"/>
      <c r="G67" s="636"/>
      <c r="H67" s="591"/>
      <c r="I67" s="591"/>
      <c r="J67" s="691"/>
      <c r="M67" s="629"/>
      <c r="N67" s="647"/>
      <c r="O67" s="417"/>
    </row>
    <row r="68" spans="1:16">
      <c r="A68" s="660"/>
      <c r="B68" s="440" t="s">
        <v>114</v>
      </c>
      <c r="C68" s="441"/>
      <c r="D68" s="617"/>
      <c r="E68" s="591"/>
      <c r="F68" s="662"/>
      <c r="G68" s="591"/>
      <c r="H68" s="636"/>
      <c r="I68" s="591"/>
      <c r="J68" s="669"/>
      <c r="M68" s="629"/>
      <c r="N68" s="647"/>
      <c r="O68" s="417"/>
    </row>
    <row r="69" spans="1:16" ht="14" thickBot="1">
      <c r="A69" s="660"/>
      <c r="B69" s="442" t="s">
        <v>115</v>
      </c>
      <c r="C69" s="523">
        <f>'Quality Center Profile'!A17</f>
        <v>15.8</v>
      </c>
      <c r="D69" s="617"/>
      <c r="E69" s="591"/>
      <c r="F69" s="591"/>
      <c r="G69" s="591"/>
      <c r="H69" s="591"/>
      <c r="I69" s="591"/>
      <c r="J69" s="591"/>
      <c r="K69" s="910"/>
      <c r="M69" s="629"/>
      <c r="N69" s="647"/>
      <c r="O69" s="417"/>
    </row>
    <row r="70" spans="1:16" ht="14">
      <c r="A70" s="660"/>
      <c r="B70" s="442" t="s">
        <v>116</v>
      </c>
      <c r="C70" s="523">
        <f>_NumberTeachingStaff</f>
        <v>12.8</v>
      </c>
      <c r="D70" s="617"/>
      <c r="E70" s="591"/>
      <c r="F70" s="295" t="s">
        <v>117</v>
      </c>
      <c r="G70" s="296"/>
      <c r="H70" s="297" t="s">
        <v>41</v>
      </c>
      <c r="I70" s="297" t="s">
        <v>118</v>
      </c>
      <c r="J70" s="297" t="s">
        <v>119</v>
      </c>
      <c r="K70" s="798"/>
      <c r="M70" s="648"/>
      <c r="N70" s="647"/>
      <c r="O70" s="649"/>
    </row>
    <row r="71" spans="1:16" ht="14" thickBot="1">
      <c r="A71" s="660"/>
      <c r="B71" s="442"/>
      <c r="C71" s="443"/>
      <c r="D71" s="617"/>
      <c r="E71" s="591"/>
      <c r="F71" s="287"/>
      <c r="G71" s="692" t="str">
        <f>B9</f>
        <v>Infant (0-11 months)</v>
      </c>
      <c r="H71" s="693">
        <f>'Quality Center Profile'!H7</f>
        <v>18280.354520740406</v>
      </c>
      <c r="I71" s="693">
        <f>H71/12</f>
        <v>1523.3628767283672</v>
      </c>
      <c r="J71" s="693">
        <f>H71/52</f>
        <v>351.54527924500781</v>
      </c>
      <c r="K71" s="798"/>
      <c r="L71" s="2"/>
    </row>
    <row r="72" spans="1:16">
      <c r="A72" s="660"/>
      <c r="B72" s="448" t="s">
        <v>120</v>
      </c>
      <c r="C72" s="481"/>
      <c r="D72" s="519" t="s">
        <v>121</v>
      </c>
      <c r="E72" s="591"/>
      <c r="F72" s="287"/>
      <c r="G72" s="692" t="str">
        <f t="shared" ref="G72:G75" si="15">B10</f>
        <v>Toddler (12-23 months)</v>
      </c>
      <c r="H72" s="693">
        <f>'Quality Center Profile'!H8</f>
        <v>15680.354520740402</v>
      </c>
      <c r="I72" s="693">
        <f t="shared" ref="I72:I75" si="16">H72/12</f>
        <v>1306.6962100617002</v>
      </c>
      <c r="J72" s="693">
        <f t="shared" ref="J72:J75" si="17">H72/52</f>
        <v>301.54527924500775</v>
      </c>
      <c r="K72" s="798"/>
      <c r="M72" s="10"/>
      <c r="N72" s="10"/>
      <c r="O72" s="10"/>
    </row>
    <row r="73" spans="1:16">
      <c r="A73" s="660"/>
      <c r="B73" s="445" t="s">
        <v>122</v>
      </c>
      <c r="C73" s="446">
        <f>'Quality Center Profile'!D37</f>
        <v>574883.4290030211</v>
      </c>
      <c r="D73" s="520">
        <f>C73/C$87</f>
        <v>0.51824831658579207</v>
      </c>
      <c r="E73" s="591"/>
      <c r="F73" s="287"/>
      <c r="G73" s="692" t="str">
        <f t="shared" si="15"/>
        <v>2-3 years</v>
      </c>
      <c r="H73" s="693">
        <f>'Quality Center Profile'!H9</f>
        <v>13512.416327135168</v>
      </c>
      <c r="I73" s="693">
        <f t="shared" si="16"/>
        <v>1126.0346939279307</v>
      </c>
      <c r="J73" s="693">
        <f t="shared" si="17"/>
        <v>259.85416013721476</v>
      </c>
      <c r="K73" s="798"/>
      <c r="M73" s="10"/>
      <c r="N73" s="10"/>
      <c r="O73" s="10"/>
    </row>
    <row r="74" spans="1:16">
      <c r="A74" s="660"/>
      <c r="B74" s="445" t="s">
        <v>123</v>
      </c>
      <c r="C74" s="446">
        <f>SUM(MandatoryBenefits+'Quality Center Profile'!D47)</f>
        <v>162662.26804380666</v>
      </c>
      <c r="D74" s="520">
        <f>C74/C$87</f>
        <v>0.14663746132311403</v>
      </c>
      <c r="E74" s="591"/>
      <c r="F74" s="287"/>
      <c r="G74" s="692" t="str">
        <f t="shared" si="15"/>
        <v>3-5 year-olds</v>
      </c>
      <c r="H74" s="693">
        <f>'Quality Center Profile'!H10</f>
        <v>12211.653410972025</v>
      </c>
      <c r="I74" s="693">
        <f t="shared" si="16"/>
        <v>1017.6377842476687</v>
      </c>
      <c r="J74" s="693">
        <f t="shared" si="17"/>
        <v>234.83948867253895</v>
      </c>
      <c r="K74" s="798"/>
      <c r="M74" s="10"/>
      <c r="N74" s="10"/>
      <c r="O74" s="10"/>
    </row>
    <row r="75" spans="1:16" ht="14" thickBot="1">
      <c r="A75" s="660"/>
      <c r="B75" s="448" t="s">
        <v>124</v>
      </c>
      <c r="C75" s="449">
        <f>SUM(C73:C74)</f>
        <v>737545.69704682776</v>
      </c>
      <c r="D75" s="525">
        <f>C75/C$87</f>
        <v>0.66488577790890613</v>
      </c>
      <c r="E75" s="591"/>
      <c r="F75" s="288"/>
      <c r="G75" s="298" t="str">
        <f t="shared" si="15"/>
        <v>School age</v>
      </c>
      <c r="H75" s="289">
        <f>'Quality Center Profile'!H11</f>
        <v>6033.0392216824084</v>
      </c>
      <c r="I75" s="289">
        <f t="shared" si="16"/>
        <v>502.75326847353404</v>
      </c>
      <c r="J75" s="289">
        <f t="shared" si="17"/>
        <v>116.01998503235401</v>
      </c>
      <c r="K75" s="798"/>
    </row>
    <row r="76" spans="1:16" ht="14" thickBot="1">
      <c r="A76" s="660"/>
      <c r="B76" s="445"/>
      <c r="C76" s="447"/>
      <c r="D76" s="521"/>
      <c r="E76" s="591"/>
      <c r="F76" s="591"/>
      <c r="G76" s="591"/>
      <c r="H76" s="591"/>
      <c r="I76" s="591"/>
      <c r="J76" s="591"/>
      <c r="K76" s="798"/>
      <c r="L76" s="78"/>
    </row>
    <row r="77" spans="1:16" ht="14">
      <c r="A77" s="660"/>
      <c r="B77" s="445" t="str">
        <f>'Quality Center Profile'!B51</f>
        <v>Education Program for Children and Staff</v>
      </c>
      <c r="C77" s="447">
        <f>NP_EdProgram</f>
        <v>198117.04173</v>
      </c>
      <c r="D77" s="520">
        <f t="shared" ref="D77:D83" si="18">C77/C$87</f>
        <v>0.17859937890641486</v>
      </c>
      <c r="E77" s="591"/>
      <c r="F77" s="245" t="s">
        <v>125</v>
      </c>
      <c r="G77" s="242"/>
      <c r="H77" s="244" t="s">
        <v>41</v>
      </c>
      <c r="I77" s="244" t="s">
        <v>126</v>
      </c>
      <c r="J77" s="244" t="s">
        <v>119</v>
      </c>
      <c r="K77" s="798"/>
      <c r="L77" s="83"/>
    </row>
    <row r="78" spans="1:16">
      <c r="A78" s="660"/>
      <c r="B78" s="445" t="str">
        <f>'Quality Center Profile'!B52</f>
        <v>Occupancy</v>
      </c>
      <c r="C78" s="447">
        <f>NP_Occupancy</f>
        <v>83722.100000000006</v>
      </c>
      <c r="D78" s="520">
        <f t="shared" si="18"/>
        <v>7.5474148665710325E-2</v>
      </c>
      <c r="E78" s="591"/>
      <c r="F78" s="194"/>
      <c r="G78" s="695" t="str">
        <f>B9</f>
        <v>Infant (0-11 months)</v>
      </c>
      <c r="H78" s="696">
        <f>I78*12</f>
        <v>15080</v>
      </c>
      <c r="I78" s="696">
        <f>IF(C$58="Yes",L78*115%,L78)</f>
        <v>1256.6666666666667</v>
      </c>
      <c r="J78" s="908">
        <f>H78/52</f>
        <v>290</v>
      </c>
      <c r="K78" s="911"/>
      <c r="L78" s="78">
        <f>IF(RatioOpt='Child Care Center'!J$1,'Subsidy rates'!C5,IF(RatioOpt='Child Care Center'!K$1,'Subsidy rates'!D5,IF(RatioOpt='Child Care Center'!L$1,'Subsidy rates'!E5,IF(RatioOpt=M$1,'Subsidy rates'!F5,'Subsidy rates'!B5))))</f>
        <v>1256.6666666666667</v>
      </c>
    </row>
    <row r="79" spans="1:16">
      <c r="A79" s="660"/>
      <c r="B79" s="445" t="str">
        <f>'Quality Center Profile'!B53</f>
        <v>Program Management &amp; Administration</v>
      </c>
      <c r="C79" s="447">
        <f>NP_MgtAdmin</f>
        <v>34074.024859999998</v>
      </c>
      <c r="D79" s="520">
        <f t="shared" si="18"/>
        <v>3.0717194359944976E-2</v>
      </c>
      <c r="E79" s="591"/>
      <c r="F79" s="194"/>
      <c r="G79" s="695" t="str">
        <f t="shared" ref="G79:G82" si="19">B10</f>
        <v>Toddler (12-23 months)</v>
      </c>
      <c r="H79" s="696">
        <f>I79*12</f>
        <v>15080</v>
      </c>
      <c r="I79" s="696">
        <f>IF(C$58="Yes",L79*115%,L79)</f>
        <v>1256.6666666666667</v>
      </c>
      <c r="J79" s="908">
        <f>H79/52</f>
        <v>290</v>
      </c>
      <c r="K79" s="798"/>
      <c r="L79" s="78">
        <f>IF(RatioOpt='Child Care Center'!J$1,'Subsidy rates'!C5,IF(RatioOpt='Child Care Center'!K$1,'Subsidy rates'!D5,IF(RatioOpt='Child Care Center'!L$1,'Subsidy rates'!E5,IF(RatioOpt=M$1,'Subsidy rates'!F5,'Subsidy rates'!B5))))</f>
        <v>1256.6666666666667</v>
      </c>
    </row>
    <row r="80" spans="1:16">
      <c r="A80" s="660"/>
      <c r="B80" s="445" t="s">
        <v>127</v>
      </c>
      <c r="C80" s="447">
        <f>'Quality Center Profile'!E54</f>
        <v>3000</v>
      </c>
      <c r="D80" s="520">
        <f t="shared" si="18"/>
        <v>2.7044525399760751E-3</v>
      </c>
      <c r="E80" s="591"/>
      <c r="F80" s="194"/>
      <c r="G80" s="695" t="str">
        <f t="shared" si="19"/>
        <v>2-3 years</v>
      </c>
      <c r="H80" s="696">
        <f t="shared" ref="H80:H82" si="20">I80*12</f>
        <v>14300</v>
      </c>
      <c r="I80" s="696">
        <f>IF(C$58="Yes",L80*115%,L80)</f>
        <v>1191.6666666666667</v>
      </c>
      <c r="J80" s="908">
        <f t="shared" ref="J80:J82" si="21">H80/52</f>
        <v>275</v>
      </c>
      <c r="K80" s="912"/>
      <c r="L80" s="78">
        <f>IF(RatioOpt='Child Care Center'!J$1,'Subsidy rates'!C6,IF(RatioOpt='Child Care Center'!K$1,'Subsidy rates'!D6,IF(RatioOpt='Child Care Center'!L$1,'Subsidy rates'!E6,IF(RatioOpt=M$1,'Subsidy rates'!F6,'Subsidy rates'!B6))))</f>
        <v>1191.6666666666667</v>
      </c>
    </row>
    <row r="81" spans="1:12">
      <c r="A81" s="660"/>
      <c r="B81" s="445" t="str">
        <f>'Quality Center Profile'!B55</f>
        <v>Transportation</v>
      </c>
      <c r="C81" s="447">
        <f>'Quality Center Profile'!E55</f>
        <v>0</v>
      </c>
      <c r="D81" s="520">
        <f t="shared" si="18"/>
        <v>0</v>
      </c>
      <c r="E81" s="591"/>
      <c r="F81" s="194"/>
      <c r="G81" s="695" t="str">
        <f t="shared" si="19"/>
        <v>3-5 year-olds</v>
      </c>
      <c r="H81" s="696">
        <f t="shared" si="20"/>
        <v>14300</v>
      </c>
      <c r="I81" s="696">
        <f>IF(C$58="Yes",L81*115%,L81)</f>
        <v>1191.6666666666667</v>
      </c>
      <c r="J81" s="908">
        <f t="shared" si="21"/>
        <v>275</v>
      </c>
      <c r="K81" s="913"/>
      <c r="L81" s="78">
        <f>IF(RatioOpt='Child Care Center'!J$1,'Subsidy rates'!C7,IF(RatioOpt='Child Care Center'!K$1,'Subsidy rates'!D7,IF(RatioOpt='Child Care Center'!L$1,'Subsidy rates'!E7,IF(RatioOpt=M$1,'Subsidy rates'!F7,'Subsidy rates'!B7))))</f>
        <v>1191.6666666666667</v>
      </c>
    </row>
    <row r="82" spans="1:12" ht="14" thickBot="1">
      <c r="A82" s="660"/>
      <c r="B82" s="445" t="str">
        <f>'Quality Center Profile'!B56</f>
        <v>Additional Cleaning</v>
      </c>
      <c r="C82" s="447">
        <f>'Quality Center Profile'!E56</f>
        <v>0</v>
      </c>
      <c r="D82" s="520">
        <f t="shared" si="18"/>
        <v>0</v>
      </c>
      <c r="E82" s="591"/>
      <c r="F82" s="195"/>
      <c r="G82" s="243" t="str">
        <f t="shared" si="19"/>
        <v>School age</v>
      </c>
      <c r="H82" s="196">
        <f t="shared" si="20"/>
        <v>7799.9999999999982</v>
      </c>
      <c r="I82" s="196">
        <f>IF(C$58="Yes",L82*115%,L82)</f>
        <v>649.99999999999989</v>
      </c>
      <c r="J82" s="909">
        <f t="shared" si="21"/>
        <v>149.99999999999997</v>
      </c>
      <c r="K82" s="911"/>
      <c r="L82" s="78">
        <f>IF(RatioOpt='Child Care Center'!J$1,'Subsidy rates'!C8,IF(RatioOpt='Child Care Center'!K$1,'Subsidy rates'!D8,IF(RatioOpt='Child Care Center'!L$1,'Subsidy rates'!E8,IF(RatioOpt=M$1,'Subsidy rates'!F8,'Subsidy rates'!B8))))*0.6</f>
        <v>649.99999999999989</v>
      </c>
    </row>
    <row r="83" spans="1:12" ht="14" thickBot="1">
      <c r="A83" s="660"/>
      <c r="B83" s="448" t="s">
        <v>129</v>
      </c>
      <c r="C83" s="449">
        <f>SUM(C77:C82)</f>
        <v>318913.16659000004</v>
      </c>
      <c r="D83" s="525">
        <f t="shared" si="18"/>
        <v>0.28749517447204626</v>
      </c>
      <c r="E83" s="591"/>
      <c r="F83" s="591"/>
      <c r="G83" s="709"/>
      <c r="H83" s="709"/>
      <c r="I83" s="687"/>
      <c r="J83" s="591"/>
      <c r="K83" s="798"/>
      <c r="L83" s="83"/>
    </row>
    <row r="84" spans="1:12" ht="14">
      <c r="A84" s="660"/>
      <c r="B84" s="473"/>
      <c r="C84" s="474"/>
      <c r="D84" s="522"/>
      <c r="E84" s="617"/>
      <c r="F84" s="575" t="s">
        <v>128</v>
      </c>
      <c r="G84" s="576"/>
      <c r="H84" s="577" t="s">
        <v>41</v>
      </c>
      <c r="I84" s="577" t="s">
        <v>126</v>
      </c>
      <c r="J84" s="577" t="s">
        <v>119</v>
      </c>
      <c r="K84" s="798"/>
    </row>
    <row r="85" spans="1:12" ht="14" thickBot="1">
      <c r="A85" s="660"/>
      <c r="B85" s="444" t="str">
        <f>'Quality Center Profile'!B59</f>
        <v>Contribution to operating reserve</v>
      </c>
      <c r="C85" s="475">
        <f>Reserve_Fund</f>
        <v>52822.943181841394</v>
      </c>
      <c r="D85" s="524">
        <f>C85/C$87</f>
        <v>4.7619047619047623E-2</v>
      </c>
      <c r="E85" s="591"/>
      <c r="F85" s="578"/>
      <c r="G85" s="904" t="str">
        <f>B9</f>
        <v>Infant (0-11 months)</v>
      </c>
      <c r="H85" s="905">
        <f>H78-H71</f>
        <v>-3200.3545207404059</v>
      </c>
      <c r="I85" s="905">
        <f>I78-I71</f>
        <v>-266.69621006170041</v>
      </c>
      <c r="J85" s="905">
        <f>J78-J71</f>
        <v>-61.545279245007805</v>
      </c>
      <c r="K85" s="798"/>
    </row>
    <row r="86" spans="1:12" ht="14" thickBot="1">
      <c r="A86" s="660"/>
      <c r="B86" s="478"/>
      <c r="C86" s="479"/>
      <c r="D86" s="617"/>
      <c r="E86" s="591"/>
      <c r="F86" s="578"/>
      <c r="G86" s="904" t="str">
        <f t="shared" ref="G86:G89" si="22">B10</f>
        <v>Toddler (12-23 months)</v>
      </c>
      <c r="H86" s="905">
        <f t="shared" ref="H86:J86" si="23">H79-H72</f>
        <v>-600.35452074040222</v>
      </c>
      <c r="I86" s="905">
        <f t="shared" si="23"/>
        <v>-50.029543395033443</v>
      </c>
      <c r="J86" s="905">
        <f t="shared" si="23"/>
        <v>-11.545279245007748</v>
      </c>
      <c r="K86" s="798"/>
    </row>
    <row r="87" spans="1:12" ht="14" thickTop="1">
      <c r="A87" s="660"/>
      <c r="B87" s="476" t="s">
        <v>130</v>
      </c>
      <c r="C87" s="480">
        <f>SUM(C75,C83,C85)</f>
        <v>1109281.8068186692</v>
      </c>
      <c r="D87" s="630"/>
      <c r="E87" s="591"/>
      <c r="F87" s="578"/>
      <c r="G87" s="904" t="str">
        <f t="shared" si="22"/>
        <v>2-3 years</v>
      </c>
      <c r="H87" s="905">
        <f t="shared" ref="H87:J87" si="24">H80-H73</f>
        <v>787.5836728648319</v>
      </c>
      <c r="I87" s="905">
        <f t="shared" si="24"/>
        <v>65.631972738736067</v>
      </c>
      <c r="J87" s="905">
        <f t="shared" si="24"/>
        <v>15.145839862785238</v>
      </c>
      <c r="K87" s="798"/>
    </row>
    <row r="88" spans="1:12">
      <c r="A88" s="660"/>
      <c r="B88" s="442"/>
      <c r="C88" s="443"/>
      <c r="D88" s="617"/>
      <c r="E88" s="591"/>
      <c r="F88" s="578"/>
      <c r="G88" s="904" t="str">
        <f t="shared" si="22"/>
        <v>3-5 year-olds</v>
      </c>
      <c r="H88" s="905">
        <f>H81-H74</f>
        <v>2088.3465890279749</v>
      </c>
      <c r="I88" s="905">
        <f t="shared" ref="I88:J88" si="25">I81-I74</f>
        <v>174.02888241899802</v>
      </c>
      <c r="J88" s="905">
        <f t="shared" si="25"/>
        <v>40.160511327461052</v>
      </c>
      <c r="K88" s="798"/>
    </row>
    <row r="89" spans="1:12" ht="14" thickBot="1">
      <c r="A89" s="660"/>
      <c r="B89" s="444" t="s">
        <v>131</v>
      </c>
      <c r="C89" s="443"/>
      <c r="D89" s="617"/>
      <c r="E89" s="591"/>
      <c r="F89" s="579"/>
      <c r="G89" s="580" t="str">
        <f t="shared" si="22"/>
        <v>School age</v>
      </c>
      <c r="H89" s="581">
        <f t="shared" ref="H89:J89" si="26">H82-H75</f>
        <v>1766.9607783175898</v>
      </c>
      <c r="I89" s="581">
        <f t="shared" si="26"/>
        <v>147.24673152646585</v>
      </c>
      <c r="J89" s="581">
        <f t="shared" si="26"/>
        <v>33.980014967645957</v>
      </c>
      <c r="K89" s="798"/>
    </row>
    <row r="90" spans="1:12">
      <c r="A90" s="660"/>
      <c r="B90" s="442" t="s">
        <v>132</v>
      </c>
      <c r="C90" s="446">
        <f>'Quality Center Profile'!D65</f>
        <v>6185.4</v>
      </c>
      <c r="D90" s="631"/>
      <c r="E90" s="591"/>
      <c r="F90" s="591"/>
      <c r="G90" s="591"/>
      <c r="H90" s="591"/>
      <c r="I90" s="591"/>
      <c r="J90" s="591"/>
      <c r="K90" s="798"/>
    </row>
    <row r="91" spans="1:12">
      <c r="A91" s="660"/>
      <c r="B91" s="442" t="s">
        <v>133</v>
      </c>
      <c r="C91" s="446">
        <f>'Quality Center Profile'!D66</f>
        <v>1040400</v>
      </c>
      <c r="D91" s="631"/>
      <c r="E91" s="591"/>
      <c r="F91" s="591"/>
      <c r="G91" s="591"/>
      <c r="H91" s="591"/>
      <c r="I91" s="591"/>
      <c r="J91" s="591"/>
      <c r="K91" s="798"/>
    </row>
    <row r="92" spans="1:12" ht="16" customHeight="1">
      <c r="A92" s="660"/>
      <c r="B92" s="442" t="s">
        <v>134</v>
      </c>
      <c r="C92" s="446">
        <f>'Quality Center Profile'!D67</f>
        <v>29380</v>
      </c>
      <c r="D92" s="631"/>
      <c r="E92" s="591"/>
      <c r="F92" s="591"/>
      <c r="G92" s="591"/>
      <c r="H92" s="591"/>
      <c r="I92" s="591"/>
      <c r="J92" s="591"/>
      <c r="K92" s="798"/>
    </row>
    <row r="93" spans="1:12">
      <c r="A93" s="660"/>
      <c r="B93" s="442" t="str">
        <f>'Quality Center Profile'!B68</f>
        <v>STARS incentives</v>
      </c>
      <c r="C93" s="446">
        <f>'Quality Center Profile'!D68</f>
        <v>0</v>
      </c>
      <c r="D93" s="631"/>
      <c r="E93" s="591"/>
      <c r="F93" s="591"/>
      <c r="G93" s="591"/>
      <c r="H93" s="591"/>
      <c r="I93" s="591"/>
      <c r="J93" s="591"/>
      <c r="K93" s="798"/>
    </row>
    <row r="94" spans="1:12" ht="14" thickBot="1">
      <c r="A94" s="660"/>
      <c r="B94" s="478" t="s">
        <v>135</v>
      </c>
      <c r="C94" s="479">
        <f>'Quality Center Profile'!D69</f>
        <v>0</v>
      </c>
      <c r="D94" s="631"/>
      <c r="E94" s="591"/>
      <c r="F94" s="591"/>
      <c r="G94" s="591"/>
      <c r="H94" s="591"/>
      <c r="I94" s="591"/>
      <c r="J94" s="591"/>
      <c r="K94" s="798"/>
    </row>
    <row r="95" spans="1:12" ht="23" customHeight="1" thickTop="1">
      <c r="A95" s="660"/>
      <c r="B95" s="476" t="s">
        <v>136</v>
      </c>
      <c r="C95" s="477">
        <f>SUM(C90:C94)</f>
        <v>1075965.3999999999</v>
      </c>
      <c r="D95" s="697"/>
      <c r="E95" s="591"/>
      <c r="F95" s="591"/>
      <c r="G95" s="591"/>
      <c r="H95" s="591"/>
      <c r="I95" s="591"/>
      <c r="J95" s="591"/>
      <c r="K95" s="798"/>
    </row>
    <row r="96" spans="1:12" ht="28">
      <c r="A96" s="660"/>
      <c r="B96" s="450" t="s">
        <v>137</v>
      </c>
      <c r="C96" s="451">
        <f>'Quality Center Profile'!E74</f>
        <v>193673.77200000006</v>
      </c>
      <c r="D96" s="698"/>
      <c r="E96" s="591"/>
      <c r="F96" s="591"/>
      <c r="G96" s="591"/>
      <c r="H96" s="591"/>
      <c r="I96" s="591"/>
      <c r="J96" s="591"/>
      <c r="K96" s="798"/>
    </row>
    <row r="97" spans="1:10" ht="19" customHeight="1">
      <c r="A97" s="660"/>
      <c r="B97" s="583" t="s">
        <v>138</v>
      </c>
      <c r="C97" s="582">
        <f>SUM(C95-C96)</f>
        <v>882291.62799999979</v>
      </c>
      <c r="D97" s="698"/>
      <c r="E97" s="591"/>
      <c r="F97" s="591"/>
      <c r="G97" s="591"/>
      <c r="H97" s="591"/>
      <c r="I97" s="591"/>
      <c r="J97" s="669"/>
    </row>
    <row r="98" spans="1:10" ht="28">
      <c r="A98" s="660"/>
      <c r="B98" s="482" t="s">
        <v>139</v>
      </c>
      <c r="C98" s="483">
        <f>C97-C87</f>
        <v>-226990.1788186694</v>
      </c>
      <c r="D98" s="632"/>
      <c r="E98" s="591"/>
      <c r="F98" s="591"/>
      <c r="G98" s="591"/>
      <c r="H98" s="591"/>
      <c r="I98" s="591"/>
      <c r="J98" s="669"/>
    </row>
    <row r="99" spans="1:10" ht="14" thickBot="1">
      <c r="A99" s="660"/>
      <c r="B99" s="452" t="s">
        <v>140</v>
      </c>
      <c r="C99" s="453">
        <f>C98/C87</f>
        <v>-0.20462805521859134</v>
      </c>
      <c r="D99" s="633"/>
      <c r="E99" s="591"/>
      <c r="F99" s="591"/>
      <c r="G99" s="591"/>
      <c r="H99" s="591"/>
      <c r="I99" s="591"/>
      <c r="J99" s="669"/>
    </row>
    <row r="100" spans="1:10">
      <c r="A100" s="660"/>
      <c r="B100" s="591"/>
      <c r="C100" s="591"/>
      <c r="D100" s="591"/>
      <c r="E100" s="591"/>
      <c r="F100" s="591"/>
      <c r="G100" s="591"/>
      <c r="H100" s="591"/>
      <c r="I100" s="591"/>
      <c r="J100" s="669"/>
    </row>
    <row r="101" spans="1:10" ht="14" thickBot="1">
      <c r="A101" s="699"/>
      <c r="B101" s="945" t="s">
        <v>501</v>
      </c>
      <c r="C101" s="700"/>
      <c r="D101" s="700"/>
      <c r="E101" s="700"/>
      <c r="F101" s="700"/>
      <c r="G101" s="700"/>
      <c r="H101" s="700"/>
      <c r="I101" s="700"/>
      <c r="J101" s="701"/>
    </row>
    <row r="102" spans="1:10" ht="14" thickTop="1"/>
  </sheetData>
  <sheetProtection algorithmName="SHA-512" hashValue="kC/jaaB6Z+7+Vq3lqIA4Skywvqs/JMaW73n9IfTjbJ0ZApqKdQ8HOyx7K2mt9FXLGHgzAGwgvnJ2gz2hxbPKQw==" saltValue="4HZN2elFqJz6rb4K+OhHTA==" spinCount="100000" sheet="1" objects="1" scenarios="1"/>
  <mergeCells count="7">
    <mergeCell ref="B3:C5"/>
    <mergeCell ref="G9:G13"/>
    <mergeCell ref="E50:E54"/>
    <mergeCell ref="F40:J40"/>
    <mergeCell ref="F42:J42"/>
    <mergeCell ref="E18:E20"/>
    <mergeCell ref="G2:G4"/>
  </mergeCells>
  <phoneticPr fontId="9" type="noConversion"/>
  <conditionalFormatting sqref="C98:D99">
    <cfRule type="cellIs" dxfId="4" priority="1" operator="lessThan">
      <formula>0</formula>
    </cfRule>
  </conditionalFormatting>
  <dataValidations count="7">
    <dataValidation type="whole" allowBlank="1" showInputMessage="1" showErrorMessage="1" errorTitle="Enter a whole number" promptTitle="Enter number of days" prompt="Enter number of days of paid sick leave per year per staff member_x000a_" sqref="D25" xr:uid="{18AE733C-7F46-9946-ACAB-7914FD730588}">
      <formula1>0</formula1>
      <formula2>100</formula2>
    </dataValidation>
    <dataValidation type="list" allowBlank="1" showInputMessage="1" showErrorMessage="1" sqref="D23" xr:uid="{D7934D95-80E9-B749-9A10-F7CB322F985F}">
      <formula1>$L$29:$P$29</formula1>
    </dataValidation>
    <dataValidation type="list" allowBlank="1" showInputMessage="1" showErrorMessage="1" sqref="E3" xr:uid="{288D963A-4F40-9549-9E88-550E7FA9FA68}">
      <formula1>$K$3</formula1>
    </dataValidation>
    <dataValidation type="list" allowBlank="1" showInputMessage="1" showErrorMessage="1" sqref="C38" xr:uid="{CF0D7AD4-7B5D-1940-8C97-E3BD0CF1A98B}">
      <formula1>$T$37:$U$37</formula1>
    </dataValidation>
    <dataValidation allowBlank="1" showInputMessage="1" showErrorMessage="1" promptTitle="Enter number of days " prompt="Enter number of days paid leave offered to staff per year (not including holidays where program is closed)" sqref="D26:D27" xr:uid="{38DE5AB1-75D8-9E49-87E4-584A9244F140}"/>
    <dataValidation type="list" allowBlank="1" showInputMessage="1" showErrorMessage="1" sqref="E2" xr:uid="{3144886A-8CEE-5A4C-B6ED-32A3B8AC0C01}">
      <formula1>$H$1:$M$1</formula1>
    </dataValidation>
    <dataValidation type="list" allowBlank="1" showInputMessage="1" showErrorMessage="1" sqref="C58:C59" xr:uid="{ADB5A932-A148-A246-B1C7-008038B6BF19}">
      <formula1>$L$59:$M$59</formula1>
    </dataValidation>
  </dataValidations>
  <pageMargins left="0.25" right="0.25" top="0.25" bottom="0.25" header="0.05" footer="0.05"/>
  <pageSetup scale="75" orientation="landscape" horizontalDpi="4294967293" r:id="rId1"/>
  <headerFooter alignWithMargins="0">
    <oddFooter>&amp;CDRAFT - Not for Distribution</oddFooter>
  </headerFooter>
  <ignoredErrors>
    <ignoredError sqref="D11:E13 E9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C2C1AE1-8333-5F4B-93CF-155C11B4DA26}">
          <x14:formula1>
            <xm:f>Wages!$B$2:$E$2</xm:f>
          </x14:formula1>
          <xm:sqref>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4" tint="-0.499984740745262"/>
  </sheetPr>
  <dimension ref="A1:AB77"/>
  <sheetViews>
    <sheetView workbookViewId="0">
      <selection activeCell="C18" sqref="C18"/>
    </sheetView>
  </sheetViews>
  <sheetFormatPr baseColWidth="10" defaultColWidth="8.83203125" defaultRowHeight="13"/>
  <cols>
    <col min="1" max="1" width="11" customWidth="1"/>
    <col min="2" max="2" width="44.5" customWidth="1"/>
    <col min="3" max="3" width="15.83203125" customWidth="1"/>
    <col min="4" max="4" width="12.6640625" customWidth="1"/>
    <col min="5" max="5" width="11.1640625" customWidth="1"/>
    <col min="6" max="6" width="12" customWidth="1"/>
    <col min="7" max="7" width="11.83203125" customWidth="1"/>
    <col min="8" max="8" width="13.1640625" customWidth="1"/>
    <col min="9" max="9" width="16.83203125" customWidth="1"/>
    <col min="10" max="10" width="9.83203125" customWidth="1"/>
    <col min="11" max="11" width="13.33203125" customWidth="1"/>
    <col min="12" max="12" width="13.5" customWidth="1"/>
    <col min="13" max="13" width="12.83203125" customWidth="1"/>
    <col min="14" max="14" width="10.5" customWidth="1"/>
    <col min="15" max="15" width="13.1640625" customWidth="1"/>
    <col min="16" max="16" width="9.6640625" customWidth="1"/>
    <col min="17" max="17" width="9.33203125" customWidth="1"/>
    <col min="18" max="20" width="11.5" customWidth="1"/>
    <col min="22" max="22" width="11.33203125" customWidth="1"/>
    <col min="23" max="23" width="11.83203125" customWidth="1"/>
    <col min="24" max="24" width="14.1640625" customWidth="1"/>
    <col min="25" max="26" width="16.1640625" customWidth="1"/>
    <col min="27" max="27" width="15" customWidth="1"/>
    <col min="28" max="28" width="10.6640625" bestFit="1" customWidth="1"/>
  </cols>
  <sheetData>
    <row r="1" spans="1:28" ht="16.5" customHeight="1">
      <c r="A1" s="2" t="s">
        <v>141</v>
      </c>
      <c r="B1" s="41"/>
      <c r="C1" s="2"/>
      <c r="D1" s="2"/>
      <c r="E1" s="2" t="str">
        <f>RatioOpt</f>
        <v>Licensing</v>
      </c>
      <c r="F1" s="2" t="str">
        <f>IF(TotalChildren&lt;30,"Small",IF(TotalChildren&lt;60,"Medium",IF(TotalChildren&gt;60,"Large")))</f>
        <v>Large</v>
      </c>
      <c r="G1" s="2"/>
    </row>
    <row r="2" spans="1:28">
      <c r="A2" s="5"/>
      <c r="B2" s="5" t="s">
        <v>142</v>
      </c>
      <c r="E2" s="3"/>
      <c r="F2" t="s">
        <v>143</v>
      </c>
    </row>
    <row r="3" spans="1:28">
      <c r="A3" s="5"/>
      <c r="B3" s="5" t="s">
        <v>144</v>
      </c>
      <c r="E3" s="29"/>
      <c r="F3" t="s">
        <v>145</v>
      </c>
    </row>
    <row r="4" spans="1:28">
      <c r="A4" s="22" t="s">
        <v>146</v>
      </c>
      <c r="B4" s="23"/>
      <c r="C4" s="23"/>
      <c r="D4" s="23"/>
      <c r="E4" s="23"/>
      <c r="F4" s="23"/>
      <c r="G4" s="23"/>
      <c r="H4" s="27"/>
      <c r="I4" s="27"/>
    </row>
    <row r="5" spans="1:28" ht="14" thickBot="1">
      <c r="K5" s="189" t="s">
        <v>147</v>
      </c>
      <c r="L5" s="5"/>
      <c r="M5" s="5"/>
      <c r="N5" s="5"/>
      <c r="O5" s="5"/>
      <c r="P5" s="5"/>
    </row>
    <row r="6" spans="1:28" ht="25.5" customHeight="1">
      <c r="B6" s="2" t="s">
        <v>23</v>
      </c>
      <c r="C6" t="s">
        <v>148</v>
      </c>
      <c r="D6" s="9" t="s">
        <v>15</v>
      </c>
      <c r="E6" s="32" t="s">
        <v>149</v>
      </c>
      <c r="F6" t="s">
        <v>150</v>
      </c>
      <c r="H6" s="92" t="s">
        <v>68</v>
      </c>
      <c r="I6" s="2" t="s">
        <v>118</v>
      </c>
      <c r="J6" s="19"/>
      <c r="K6" s="190" t="s">
        <v>151</v>
      </c>
      <c r="L6" s="190" t="s">
        <v>152</v>
      </c>
      <c r="M6" s="190" t="s">
        <v>153</v>
      </c>
      <c r="N6" s="190" t="s">
        <v>123</v>
      </c>
      <c r="O6" s="190" t="s">
        <v>154</v>
      </c>
      <c r="P6" s="345" t="s">
        <v>155</v>
      </c>
      <c r="Q6" s="345" t="s">
        <v>156</v>
      </c>
      <c r="R6" s="345" t="s">
        <v>157</v>
      </c>
      <c r="S6" s="345" t="s">
        <v>127</v>
      </c>
      <c r="T6" s="190" t="s">
        <v>66</v>
      </c>
      <c r="U6" s="190" t="s">
        <v>158</v>
      </c>
      <c r="V6" s="190" t="s">
        <v>159</v>
      </c>
      <c r="W6" s="190" t="s">
        <v>160</v>
      </c>
      <c r="X6" s="209" t="s">
        <v>161</v>
      </c>
      <c r="Y6" s="212" t="s">
        <v>162</v>
      </c>
      <c r="Z6" s="271"/>
      <c r="AA6" s="215" t="s">
        <v>163</v>
      </c>
    </row>
    <row r="7" spans="1:28" ht="17" customHeight="1">
      <c r="A7">
        <f>C7*F7</f>
        <v>12</v>
      </c>
      <c r="B7" s="32" t="str">
        <f>'Child Care Center'!B9</f>
        <v>Infant (0-11 months)</v>
      </c>
      <c r="C7" s="203">
        <f>'Child Care Center'!E9</f>
        <v>12</v>
      </c>
      <c r="D7" s="204">
        <f>'Child Care Center'!D9</f>
        <v>4</v>
      </c>
      <c r="E7" s="16">
        <f>IF(Infants&gt;0,(ROUND(SUM(Infants/D7),1)),"0")</f>
        <v>3</v>
      </c>
      <c r="F7" s="268">
        <f>'Child Care Center'!F9</f>
        <v>1</v>
      </c>
      <c r="G7" s="32" t="str">
        <f>B7</f>
        <v>Infant (0-11 months)</v>
      </c>
      <c r="H7" s="40">
        <f>AA7</f>
        <v>18280.354520740406</v>
      </c>
      <c r="I7" s="351">
        <f>H7/12</f>
        <v>1523.3628767283672</v>
      </c>
      <c r="J7" s="36"/>
      <c r="K7" s="205">
        <f>Admin_Staff/TotalChildren</f>
        <v>1350.1540785498489</v>
      </c>
      <c r="L7" s="205">
        <f>IF(Infants&gt;0,(SUM((D23/A23)*F7,((E7-F7)*(D24/A24)))/Infants),"0")</f>
        <v>8415.6344410876136</v>
      </c>
      <c r="M7" s="205">
        <f>IF(Infants&gt;0,(SUM(D$27:D$28))/TotalClassrooms/Infants*InfantClassrooms,"0")</f>
        <v>936</v>
      </c>
      <c r="N7" s="205">
        <f>SUM(MandatoryBenefits,AdditionalBenefits,D46)/TotalChildren</f>
        <v>1626.6226804380667</v>
      </c>
      <c r="O7" s="205">
        <f>IF(Infants&gt;0,(Subs/TotalClassrooms/Infants*InfantClassrooms),"0")</f>
        <v>524.75</v>
      </c>
      <c r="P7" s="206">
        <f>NP_EdProgram/TotalChildren</f>
        <v>1981.1704173000001</v>
      </c>
      <c r="Q7" s="206">
        <f>IF(Infants&gt;0,(NP_Occupancy/TotalClassrooms/Infants*InfantClassrooms),"0")</f>
        <v>1395.3683333333336</v>
      </c>
      <c r="R7" s="206">
        <f>NP_MgtAdmin/TotalChildren</f>
        <v>340.74024859999997</v>
      </c>
      <c r="S7" s="206">
        <f>$E$54/TotalChildren</f>
        <v>30</v>
      </c>
      <c r="T7" s="206">
        <v>0</v>
      </c>
      <c r="U7" s="207">
        <f>IF(Infants&gt;0,(SUM(E$56/TotalClassrooms)/Infants),"0")</f>
        <v>0</v>
      </c>
      <c r="V7" s="207">
        <f>D$59/TotalChildren</f>
        <v>528.2294318184139</v>
      </c>
      <c r="W7" s="191">
        <f>SUM(K7:V7)</f>
        <v>17128.669631127279</v>
      </c>
      <c r="X7" s="210">
        <f>W7*Infants</f>
        <v>205544.03557352733</v>
      </c>
      <c r="Y7" s="213">
        <f>A7/SUM(TotalChildren-Schoolagers)*Y11</f>
        <v>13820.218675357535</v>
      </c>
      <c r="Z7" s="36">
        <f>SUM(X7:Y7)</f>
        <v>219364.25424888486</v>
      </c>
      <c r="AA7" s="216">
        <f>IF(Infants&gt;0,(Z7/Infants),"0")</f>
        <v>18280.354520740406</v>
      </c>
    </row>
    <row r="8" spans="1:28" ht="17" customHeight="1">
      <c r="A8">
        <f>C8*F8</f>
        <v>12</v>
      </c>
      <c r="B8" s="32" t="str">
        <f>'Child Care Center'!B10</f>
        <v>Toddler (12-23 months)</v>
      </c>
      <c r="C8" s="203">
        <f>'Child Care Center'!E10</f>
        <v>12</v>
      </c>
      <c r="D8" s="204">
        <f>'Child Care Center'!D10</f>
        <v>6</v>
      </c>
      <c r="E8" s="16">
        <f>IF(A8&gt;0,(ROUND(SUM(A8/D8),1)),"0")</f>
        <v>2</v>
      </c>
      <c r="F8" s="268">
        <f>'Child Care Center'!F10</f>
        <v>1</v>
      </c>
      <c r="G8" s="32" t="str">
        <f>B8</f>
        <v>Toddler (12-23 months)</v>
      </c>
      <c r="H8" s="40">
        <f>AA8</f>
        <v>15680.354520740402</v>
      </c>
      <c r="I8" s="351">
        <f>H8/12</f>
        <v>1306.6962100617002</v>
      </c>
      <c r="J8" s="36"/>
      <c r="K8" s="205">
        <f>Admin_Staff/TotalChildren</f>
        <v>1350.1540785498489</v>
      </c>
      <c r="L8" s="205">
        <f>IF(A8&gt;0,(SUM((D23/A23)*F8,((E8-F8)*(D24/A24)))/A8),"0")</f>
        <v>5815.6344410876127</v>
      </c>
      <c r="M8" s="205">
        <f>IF(A8&gt;0,(SUM(D$27:D$28))/TotalClassrooms/A8*F8,"0")</f>
        <v>936</v>
      </c>
      <c r="N8" s="205">
        <f>SUM(MandatoryBenefits,AdditionalBenefits,D46)/TotalChildren</f>
        <v>1626.6226804380667</v>
      </c>
      <c r="O8" s="205">
        <f>IF(A8&gt;0,(Subs/TotalClassrooms/A8*F8),"0")</f>
        <v>524.75</v>
      </c>
      <c r="P8" s="206">
        <f>NP_EdProgram/TotalChildren</f>
        <v>1981.1704173000001</v>
      </c>
      <c r="Q8" s="206">
        <f>IF(A8&gt;0,(NP_Occupancy/TotalClassrooms/A8*F8),"0")</f>
        <v>1395.3683333333336</v>
      </c>
      <c r="R8" s="206">
        <f>NP_MgtAdmin/TotalChildren</f>
        <v>340.74024859999997</v>
      </c>
      <c r="S8" s="206">
        <f>$E$54/TotalChildren</f>
        <v>30</v>
      </c>
      <c r="T8" s="206">
        <v>0</v>
      </c>
      <c r="U8" s="207">
        <f>IF(A8&gt;0,(SUM(E$56/TotalClassrooms)/A8),"0")</f>
        <v>0</v>
      </c>
      <c r="V8" s="207">
        <f>D$59/TotalChildren</f>
        <v>528.2294318184139</v>
      </c>
      <c r="W8" s="191">
        <f>SUM(K8:V8)</f>
        <v>14528.669631127275</v>
      </c>
      <c r="X8" s="45">
        <f>W8*A8</f>
        <v>174344.0355735273</v>
      </c>
      <c r="Y8" s="213">
        <f>A8/SUM(TotalChildren-Schoolagers)*Y11</f>
        <v>13820.218675357535</v>
      </c>
      <c r="Z8" s="36">
        <f>SUM(X8:Y8)</f>
        <v>188164.25424888483</v>
      </c>
      <c r="AA8" s="216">
        <f>IF(A8&gt;0,(Z8/A8),"0")</f>
        <v>15680.354520740402</v>
      </c>
    </row>
    <row r="9" spans="1:28" ht="16" customHeight="1">
      <c r="A9">
        <f>C9*F9</f>
        <v>16</v>
      </c>
      <c r="B9" s="32" t="str">
        <f>'Child Care Center'!B11</f>
        <v>2-3 years</v>
      </c>
      <c r="C9" s="203">
        <f>'Child Care Center'!E11</f>
        <v>16</v>
      </c>
      <c r="D9" s="204">
        <f>'Child Care Center'!D11</f>
        <v>8</v>
      </c>
      <c r="E9" s="16">
        <f>IF(Toddlers&gt;0,(ROUND(SUM(Toddlers/D9),1)),"0")</f>
        <v>2</v>
      </c>
      <c r="F9" s="268">
        <f>'Child Care Center'!F11</f>
        <v>1</v>
      </c>
      <c r="G9" s="32" t="str">
        <f>B9</f>
        <v>2-3 years</v>
      </c>
      <c r="H9" s="40">
        <f t="shared" ref="H9:H11" si="0">AA9</f>
        <v>13512.416327135168</v>
      </c>
      <c r="I9" s="351">
        <f>H9/12</f>
        <v>1126.0346939279307</v>
      </c>
      <c r="J9" s="76"/>
      <c r="K9" s="205">
        <f>Admin_Staff/TotalChildren</f>
        <v>1350.1540785498489</v>
      </c>
      <c r="L9" s="205">
        <f>IF(Toddlers&gt;0,(SUM((D23/A23)*F9,((E9-F9)*(D24/A24)))/Toddlers),"0")</f>
        <v>4361.7258308157097</v>
      </c>
      <c r="M9" s="205">
        <f>IF(Toddlers&gt;0,(SUM(D$27:D$28))/TotalClassrooms/Toddlers*ToddlerClassrooms,"0")</f>
        <v>702</v>
      </c>
      <c r="N9" s="205">
        <f>SUM(MandatoryBenefits,AdditionalBenefits,D46)/TotalChildren</f>
        <v>1626.6226804380667</v>
      </c>
      <c r="O9" s="205">
        <f>IF(Toddlers&gt;0,(Subs/TotalClassrooms/Toddlers*ToddlerClassrooms),"0")</f>
        <v>393.5625</v>
      </c>
      <c r="P9" s="206">
        <f>NP_EdProgram/TotalChildren</f>
        <v>1981.1704173000001</v>
      </c>
      <c r="Q9" s="206">
        <f>IF(Toddlers&gt;0,(NP_Occupancy/TotalClassrooms/Toddlers*ToddlerClassrooms),"0")</f>
        <v>1046.5262500000001</v>
      </c>
      <c r="R9" s="206">
        <f>NP_MgtAdmin/TotalChildren</f>
        <v>340.74024859999997</v>
      </c>
      <c r="S9" s="206">
        <f>$E$54/TotalChildren</f>
        <v>30</v>
      </c>
      <c r="T9" s="206">
        <v>0</v>
      </c>
      <c r="U9" s="207">
        <f>IF(Toddlers&gt;0,(SUM(E$56/TotalClassrooms)/Toddlers),"0")</f>
        <v>0</v>
      </c>
      <c r="V9" s="207">
        <f>D$59/TotalChildren</f>
        <v>528.2294318184139</v>
      </c>
      <c r="W9" s="191">
        <f>SUM(K9:V9)</f>
        <v>12360.731437522039</v>
      </c>
      <c r="X9" s="210">
        <f>W9*Toddlers</f>
        <v>197771.70300035263</v>
      </c>
      <c r="Y9" s="213">
        <f>A9/SUM(TotalChildren-Schoolagers)*Y11</f>
        <v>18426.958233810044</v>
      </c>
      <c r="Z9" s="36">
        <f>SUM(X9:Y9)</f>
        <v>216198.66123416269</v>
      </c>
      <c r="AA9" s="216">
        <f>IF(Toddlers&gt;0,(Z9/Toddlers),"0")</f>
        <v>13512.416327135168</v>
      </c>
    </row>
    <row r="10" spans="1:28" ht="14" customHeight="1">
      <c r="A10">
        <f>C10*F10</f>
        <v>20</v>
      </c>
      <c r="B10" s="32" t="str">
        <f>'Child Care Center'!B12</f>
        <v>3-5 year-olds</v>
      </c>
      <c r="C10" s="203">
        <f>'Child Care Center'!E12</f>
        <v>20</v>
      </c>
      <c r="D10" s="204">
        <f>'Child Care Center'!D12</f>
        <v>10</v>
      </c>
      <c r="E10" s="16">
        <f>IF(Preschoolers&gt;0,(ROUND(SUM(Preschoolers/D10),1)),"0")</f>
        <v>2</v>
      </c>
      <c r="F10" s="268">
        <f>'Child Care Center'!F12</f>
        <v>1</v>
      </c>
      <c r="G10" s="32" t="str">
        <f>B10</f>
        <v>3-5 year-olds</v>
      </c>
      <c r="H10" s="40">
        <f t="shared" si="0"/>
        <v>12211.653410972025</v>
      </c>
      <c r="I10" s="351">
        <f>H10/12</f>
        <v>1017.6377842476687</v>
      </c>
      <c r="J10" s="76"/>
      <c r="K10" s="205">
        <f>Admin_Staff/TotalChildren</f>
        <v>1350.1540785498489</v>
      </c>
      <c r="L10" s="205">
        <f>IF(Pre3Children&gt;0,(SUM((D23/A23)*F10,((E10-F10)*(D24/A24)))/Pre3Children),"0")</f>
        <v>3489.3806646525677</v>
      </c>
      <c r="M10" s="205">
        <f>IF(Pre3Children&gt;0,(SUM(D$27:D$28))/TotalClassrooms/Pre3Children*PreschoolersClassroom,"0")</f>
        <v>561.6</v>
      </c>
      <c r="N10" s="205">
        <f>SUM(MandatoryBenefits,AdditionalBenefits,D46)/TotalChildren</f>
        <v>1626.6226804380667</v>
      </c>
      <c r="O10" s="205">
        <f>IF(Pre3Children&gt;0,(Subs/TotalClassrooms/Pre3Children*PreschoolersClassroom),"0")</f>
        <v>314.85000000000002</v>
      </c>
      <c r="P10" s="206">
        <f>NP_EdProgram/TotalChildren</f>
        <v>1981.1704173000001</v>
      </c>
      <c r="Q10" s="206">
        <f>IF(Pre3Children&gt;0,(NP_Occupancy/TotalClassrooms/Pre3Children*PreschoolersClassroom),"0")</f>
        <v>837.22100000000012</v>
      </c>
      <c r="R10" s="206">
        <f>NP_MgtAdmin/TotalChildren</f>
        <v>340.74024859999997</v>
      </c>
      <c r="S10" s="206">
        <f>$E$54/TotalChildren</f>
        <v>30</v>
      </c>
      <c r="T10" s="206">
        <v>0</v>
      </c>
      <c r="U10" s="207">
        <f>IF(Pre3Children&gt;0,(SUM(E$56/TotalClassrooms)/Pre3Children),"0")</f>
        <v>0</v>
      </c>
      <c r="V10" s="207">
        <f>D$59/TotalChildren</f>
        <v>528.2294318184139</v>
      </c>
      <c r="W10" s="191">
        <f>SUM(K10:V10)</f>
        <v>11059.968521358896</v>
      </c>
      <c r="X10" s="210">
        <f>W10*Pre3Children</f>
        <v>221199.37042717793</v>
      </c>
      <c r="Y10" s="337">
        <f>A10/SUM(TotalChildren-Schoolagers)*Y11</f>
        <v>23033.697792262556</v>
      </c>
      <c r="Z10" s="36">
        <f>SUM(X10:Y10)</f>
        <v>244233.06821944049</v>
      </c>
      <c r="AA10" s="216">
        <f>IF(Pre3Children&gt;0,(Z10/Pre3Children),"0")</f>
        <v>12211.653410972025</v>
      </c>
    </row>
    <row r="11" spans="1:28" ht="14" customHeight="1">
      <c r="A11">
        <f>C11*F11</f>
        <v>40</v>
      </c>
      <c r="B11" s="32" t="str">
        <f>'Child Care Center'!B13</f>
        <v>School age</v>
      </c>
      <c r="C11" s="203">
        <f>'Child Care Center'!E13</f>
        <v>40</v>
      </c>
      <c r="D11" s="204">
        <f>'Child Care Center'!D13</f>
        <v>20</v>
      </c>
      <c r="E11" s="16">
        <f>IF(Schoolagers&gt;0,(ROUNDUP(SUM(Schoolagers/D11),0)),"0")</f>
        <v>2</v>
      </c>
      <c r="F11" s="268">
        <f>'Child Care Center'!F13</f>
        <v>1</v>
      </c>
      <c r="G11" s="32" t="str">
        <f>B11</f>
        <v>School age</v>
      </c>
      <c r="H11" s="40">
        <f t="shared" si="0"/>
        <v>6033.0392216824084</v>
      </c>
      <c r="I11" s="351">
        <f>H11/12</f>
        <v>502.75326847353404</v>
      </c>
      <c r="J11" s="76"/>
      <c r="K11" s="205">
        <f>(Admin_Staff/TotalChildren)</f>
        <v>1350.1540785498489</v>
      </c>
      <c r="L11" s="205">
        <f>IF(Schoolagers&gt;0,(SUM((D25/A25)*F11,((E11-F11)*(D26/A26)))/Schoolagers),"0")</f>
        <v>1046.8141993957702</v>
      </c>
      <c r="M11" s="205">
        <f>IF(Schoolagers&gt;0,(SUM(D$27:D$28))/TotalClassrooms/Schoolagers*SchoolageClassroom,"0")</f>
        <v>280.8</v>
      </c>
      <c r="N11" s="205">
        <f>IF(Schoolagers&gt;0,(SUM(MandatoryBenefits,AdditionalBenefits,D46)/TotalChildren),"0")</f>
        <v>1626.6226804380667</v>
      </c>
      <c r="O11" s="205">
        <f>IF(Schoolagers&gt;0,(Subs/TotalClassrooms/Schoolagers*SchoolageClassroom),"0")</f>
        <v>157.42500000000001</v>
      </c>
      <c r="P11" s="206">
        <f>SUM(NP_EdProgram/TotalChildren)</f>
        <v>1981.1704173000001</v>
      </c>
      <c r="Q11" s="206">
        <f>IF(Schoolagers&gt;0,(NP_Occupancy/TotalClassrooms/Schoolagers*SchoolageClassroom),"0")</f>
        <v>418.61050000000006</v>
      </c>
      <c r="R11" s="206">
        <f>(NP_MgtAdmin/TotalChildren)</f>
        <v>340.74024859999997</v>
      </c>
      <c r="S11" s="206">
        <f>$E$54/TotalChildren</f>
        <v>30</v>
      </c>
      <c r="T11" s="206">
        <f>IF(Schoolagers&gt;0,(E55/Schoolagers),0)</f>
        <v>0</v>
      </c>
      <c r="U11" s="207">
        <f>IF(Schoolagers&gt;0,(SUM(E$56/TotalClassrooms)/Schoolagers),"0")</f>
        <v>0</v>
      </c>
      <c r="V11" s="207">
        <f>D$59/TotalChildren</f>
        <v>528.2294318184139</v>
      </c>
      <c r="W11" s="191">
        <f>SUM(K11:V11)</f>
        <v>7760.5665561020996</v>
      </c>
      <c r="X11" s="210">
        <f>W11*Schoolagers</f>
        <v>310422.662244084</v>
      </c>
      <c r="Y11" s="210">
        <f>X11-Z11</f>
        <v>69101.09337678767</v>
      </c>
      <c r="Z11" s="36">
        <f>(SUM(K11,N11,M11:R11,U11:V11)*Schoolagers*60%)+(SUM(L11,T11)*Schoolagers)</f>
        <v>241321.56886729633</v>
      </c>
      <c r="AA11" s="216">
        <f>IF(Schoolagers&gt;0,(Z11/Schoolagers),"0")</f>
        <v>6033.0392216824084</v>
      </c>
      <c r="AB11" s="32" t="s">
        <v>164</v>
      </c>
    </row>
    <row r="12" spans="1:28" ht="14" customHeight="1" thickBot="1">
      <c r="A12" s="55">
        <f>SUM(A7:A11)</f>
        <v>100</v>
      </c>
      <c r="B12" s="84"/>
      <c r="C12" s="85"/>
      <c r="D12" s="86"/>
      <c r="E12" s="193">
        <f>SUM(E7:E11)</f>
        <v>11</v>
      </c>
      <c r="F12" s="55">
        <f>SUM(F7:F11)</f>
        <v>5</v>
      </c>
      <c r="H12" s="10"/>
      <c r="I12" s="32"/>
      <c r="J12" s="36"/>
      <c r="K12" s="192">
        <f>K7*$A7+K8*A8+K9*$A9+K10*$A10+K11*$A11</f>
        <v>135015.40785498489</v>
      </c>
      <c r="L12" s="192">
        <f>L7*$A7+L8*A8+L9*$A9+L10*$A10+L11*$A11</f>
        <v>352223.02114803629</v>
      </c>
      <c r="M12" s="192">
        <f>M7*$A7+M8*A8+M9*$A9+M10*$A10+M11*$A11</f>
        <v>56160</v>
      </c>
      <c r="N12" s="192">
        <f>N7*$A7+N8*A8+N9*$A9+N10*$A10+N11*$A11</f>
        <v>162662.26804380666</v>
      </c>
      <c r="O12" s="192">
        <f>O7*$A7+O8*A8+O9*$A9+O10*$A10+O11*$A11</f>
        <v>31485</v>
      </c>
      <c r="P12" s="192">
        <f>P7*$A7+P8*A8+P9*$A9+P10*$A10+P11*$A11</f>
        <v>198117.04173</v>
      </c>
      <c r="Q12" s="192">
        <f>Q7*$A7+Q8*A8+Q9*$A9+Q10*$A10+Q11*$A11</f>
        <v>83722.100000000006</v>
      </c>
      <c r="R12" s="192">
        <f>R7*$A7+R8*A8+R9*$A9+R10*$A10+R11*$A11</f>
        <v>34074.024860000005</v>
      </c>
      <c r="S12" s="192">
        <f>S7*$A7+S8*A8+S9*$A9+S10*$A10+S11*$A11</f>
        <v>3000</v>
      </c>
      <c r="T12" s="192">
        <f>T7*$A7+T8*A8+T9*$A9+T10*$A10+T11*$A11</f>
        <v>0</v>
      </c>
      <c r="U12" s="192">
        <f>U7*$A7+U8*A8*U9*$A9+U10*$A10+U11*$A11</f>
        <v>0</v>
      </c>
      <c r="V12" s="192">
        <f>V7*$A7+V8*A8+V9*$A9+V10*$A10+V11*$A11</f>
        <v>52822.943181841387</v>
      </c>
      <c r="W12" s="192">
        <f>W7*$A7+W8*A8+W9*$A9+W10*$A10+W11*$A11</f>
        <v>1109281.8068186692</v>
      </c>
      <c r="X12" s="192">
        <f>SUM(X7:X11)</f>
        <v>1109281.8068186692</v>
      </c>
      <c r="Z12" s="211">
        <f>SUM(Z7:Z11)</f>
        <v>1109281.8068186692</v>
      </c>
      <c r="AA12" s="214"/>
    </row>
    <row r="13" spans="1:28" ht="26" customHeight="1">
      <c r="B13" s="32"/>
      <c r="F13" s="270">
        <v>0.2</v>
      </c>
      <c r="G13" s="926" t="s">
        <v>165</v>
      </c>
      <c r="H13" s="926"/>
      <c r="I13" s="926"/>
      <c r="K13" s="192"/>
      <c r="L13" s="198"/>
      <c r="M13" s="198"/>
      <c r="N13" s="79"/>
      <c r="O13" s="14"/>
      <c r="P13" s="32"/>
      <c r="Q13" s="32"/>
      <c r="Z13" s="19"/>
    </row>
    <row r="14" spans="1:28">
      <c r="F14" s="1"/>
      <c r="K14" s="273"/>
      <c r="L14" s="273"/>
      <c r="M14" s="273"/>
      <c r="N14" s="273"/>
      <c r="O14" s="273"/>
      <c r="P14" s="273"/>
      <c r="Q14" s="273"/>
      <c r="R14" s="82"/>
      <c r="S14" s="82"/>
      <c r="T14" s="82"/>
      <c r="U14" s="82"/>
      <c r="V14" s="82"/>
      <c r="W14" s="82"/>
      <c r="X14" s="82"/>
      <c r="Y14" s="82"/>
      <c r="Z14" s="82"/>
      <c r="AA14" s="82"/>
    </row>
    <row r="15" spans="1:28">
      <c r="F15" s="1"/>
      <c r="G15" s="198"/>
      <c r="H15" s="198"/>
      <c r="I15" s="198"/>
      <c r="K15" s="349"/>
      <c r="L15" s="32"/>
      <c r="M15" s="273"/>
      <c r="N15" s="273"/>
      <c r="O15" s="273"/>
      <c r="P15" s="273"/>
      <c r="Q15" s="273"/>
      <c r="R15" s="273"/>
      <c r="S15" s="273"/>
      <c r="T15" s="273"/>
      <c r="U15" s="273"/>
      <c r="V15" s="273"/>
      <c r="W15" s="273"/>
      <c r="X15" s="273"/>
      <c r="Z15" s="19"/>
    </row>
    <row r="16" spans="1:28">
      <c r="B16" s="2" t="s">
        <v>166</v>
      </c>
      <c r="D16" s="18" t="s">
        <v>167</v>
      </c>
      <c r="E16" s="18" t="s">
        <v>168</v>
      </c>
      <c r="G16" s="198"/>
      <c r="H16" s="198"/>
      <c r="I16" s="198"/>
      <c r="J16" s="10"/>
      <c r="K16" s="67"/>
      <c r="L16" s="32"/>
      <c r="M16" s="32"/>
      <c r="N16" s="273"/>
      <c r="O16" s="14"/>
      <c r="P16" s="32"/>
      <c r="Q16" s="32"/>
    </row>
    <row r="17" spans="1:19">
      <c r="A17" s="39">
        <f>SUM(A18:A28)</f>
        <v>15.8</v>
      </c>
      <c r="B17" s="2" t="s">
        <v>169</v>
      </c>
      <c r="C17" s="4"/>
      <c r="E17" s="32" t="str">
        <f>RatioOpt</f>
        <v>Licensing</v>
      </c>
      <c r="F17" s="426"/>
      <c r="G17" s="427"/>
      <c r="H17" s="427"/>
      <c r="I17" s="32"/>
      <c r="K17" s="32"/>
      <c r="L17" s="427"/>
      <c r="M17" s="427"/>
      <c r="N17" s="273"/>
      <c r="O17" s="187"/>
      <c r="P17" s="14"/>
      <c r="Q17" s="32"/>
      <c r="R17" s="32"/>
      <c r="S17" s="32"/>
    </row>
    <row r="18" spans="1:19">
      <c r="A18" s="68">
        <f>IF(A12&gt;0,1,0)</f>
        <v>1</v>
      </c>
      <c r="B18" s="32" t="s">
        <v>170</v>
      </c>
      <c r="C18" s="10"/>
      <c r="D18" s="10">
        <f>E18*A18</f>
        <v>57675.226586102719</v>
      </c>
      <c r="E18" s="424">
        <f>IF(Salary="BLS",Wages!$B3,
IF(Salary="BLS, $15 min wage adjusted",Wages!$C3,
IF(Salary="Living Wage",Wages!$D3,
IF(Salary="User added",Wages!$E3,0))))</f>
        <v>57675.226586102719</v>
      </c>
      <c r="F18" s="428"/>
      <c r="G18" s="14"/>
      <c r="H18" s="14"/>
      <c r="I18" s="14"/>
      <c r="K18" s="14"/>
      <c r="L18" s="14"/>
      <c r="M18" s="14"/>
      <c r="N18" s="14"/>
      <c r="O18" s="32"/>
      <c r="P18" s="32"/>
      <c r="Q18" s="32"/>
      <c r="R18" s="32"/>
      <c r="S18" s="32"/>
    </row>
    <row r="19" spans="1:19">
      <c r="A19" s="66">
        <f>IF(TotalChildren&lt;30,0.5,1)</f>
        <v>1</v>
      </c>
      <c r="B19" s="32" t="s">
        <v>171</v>
      </c>
      <c r="C19" s="10"/>
      <c r="D19" s="10">
        <f t="shared" ref="D19:D20" si="1">E19*A19</f>
        <v>46140.181268882181</v>
      </c>
      <c r="E19" s="424">
        <f>IF(Salary="BLS",Wages!$B4,
IF(Salary="BLS, $15 min wage adjusted",Wages!$C4,
IF(Salary="Living Wage",Wages!$D4,
IF(Salary="User added",Wages!$E4,0))))</f>
        <v>46140.181268882181</v>
      </c>
      <c r="F19" s="428"/>
      <c r="G19" s="14"/>
      <c r="H19" s="14"/>
      <c r="K19" s="14"/>
      <c r="L19" s="14"/>
      <c r="M19" s="14"/>
      <c r="N19" s="14"/>
    </row>
    <row r="20" spans="1:19">
      <c r="A20" s="66">
        <f>IF(TotalChildren&lt;30,0.5,1)</f>
        <v>1</v>
      </c>
      <c r="B20" s="32" t="s">
        <v>172</v>
      </c>
      <c r="C20" s="10"/>
      <c r="D20" s="10">
        <f t="shared" si="1"/>
        <v>31200</v>
      </c>
      <c r="E20" s="424">
        <f>IF(Salary="BLS",Wages!$B5,
IF(Salary="BLS, $15 min wage adjusted",Wages!$C5,
IF(Salary="Living Wage",Wages!$D5,
IF(Salary="User added",Wages!$E5,0))))</f>
        <v>31200</v>
      </c>
      <c r="F20" s="428"/>
      <c r="G20" s="14"/>
      <c r="H20" s="14"/>
      <c r="K20" s="14"/>
      <c r="L20" s="14"/>
      <c r="M20" s="14"/>
      <c r="N20" s="14"/>
    </row>
    <row r="21" spans="1:19">
      <c r="A21" s="68"/>
      <c r="B21" s="35" t="s">
        <v>173</v>
      </c>
      <c r="C21" s="1"/>
      <c r="D21" s="74">
        <f>SUM(D18:D20)</f>
        <v>135015.40785498489</v>
      </c>
      <c r="E21" s="74"/>
      <c r="F21" s="487">
        <f>D21/D60</f>
        <v>0.12171425423643988</v>
      </c>
      <c r="G21" s="74"/>
      <c r="H21" s="74"/>
      <c r="K21" s="74"/>
      <c r="L21" s="10"/>
      <c r="M21" s="74"/>
      <c r="N21" s="32"/>
    </row>
    <row r="22" spans="1:19" ht="8.5" customHeight="1">
      <c r="A22" s="68"/>
      <c r="B22" s="35"/>
      <c r="C22" s="1"/>
      <c r="D22" s="10"/>
      <c r="E22" s="10"/>
      <c r="F22" s="48"/>
      <c r="G22" s="10"/>
      <c r="H22" s="10"/>
      <c r="K22" s="10"/>
      <c r="L22" s="10"/>
      <c r="M22" s="429"/>
      <c r="N22" s="32"/>
    </row>
    <row r="23" spans="1:19">
      <c r="A23" s="66">
        <f>TotalClassrooms-SchoolageClassroom</f>
        <v>4</v>
      </c>
      <c r="B23" s="32" t="s">
        <v>174</v>
      </c>
      <c r="C23" s="10"/>
      <c r="D23" s="10">
        <f t="shared" ref="D23:D28" si="2">E23*A23</f>
        <v>154350.45317220542</v>
      </c>
      <c r="E23" s="48">
        <f>IF(Salary="BLS",Wages!$B6,
IF(Salary="BLS, $15 min wage adjusted",Wages!$C6,
IF(Salary="Living Wage",Wages!$D6,
IF(Salary="User added",Wages!$E6,0))))</f>
        <v>38587.613293051356</v>
      </c>
      <c r="F23" s="48"/>
      <c r="G23" s="10"/>
      <c r="H23" s="10"/>
      <c r="I23" s="5"/>
      <c r="J23" s="5"/>
      <c r="K23" s="14"/>
      <c r="L23" s="14"/>
      <c r="M23" s="14"/>
      <c r="N23" s="14"/>
    </row>
    <row r="24" spans="1:19">
      <c r="A24" s="66">
        <f>SUM(E12-E11)-SUM(F12-SchoolageClassroom)</f>
        <v>5</v>
      </c>
      <c r="B24" s="32" t="s">
        <v>175</v>
      </c>
      <c r="C24" s="10"/>
      <c r="D24" s="10">
        <f t="shared" si="2"/>
        <v>156000</v>
      </c>
      <c r="E24" s="48">
        <f>IF(Salary="BLS",Wages!$B7,
IF(Salary="BLS, $15 min wage adjusted",Wages!$C7, IF(Salary="Living Wage",Wages!$D7,
IF(Salary="User added",Wages!$E7,0))))</f>
        <v>31200</v>
      </c>
      <c r="F24" s="48"/>
      <c r="G24" s="10"/>
      <c r="H24" s="10"/>
      <c r="K24" s="14"/>
      <c r="L24" s="14"/>
      <c r="M24" s="14"/>
      <c r="N24" s="14"/>
    </row>
    <row r="25" spans="1:19">
      <c r="A25" s="66">
        <f>SchoolageClassroom</f>
        <v>1</v>
      </c>
      <c r="B25" s="32" t="s">
        <v>176</v>
      </c>
      <c r="C25" s="10"/>
      <c r="D25" s="10">
        <f t="shared" si="2"/>
        <v>23152.567975830814</v>
      </c>
      <c r="E25" s="48">
        <f>E23*0.6</f>
        <v>23152.567975830814</v>
      </c>
      <c r="F25" s="48"/>
      <c r="G25" s="10"/>
      <c r="H25" s="10"/>
      <c r="I25" s="5"/>
      <c r="K25" s="14"/>
      <c r="L25" s="14"/>
      <c r="M25" s="14"/>
      <c r="N25" s="14"/>
    </row>
    <row r="26" spans="1:19">
      <c r="A26" s="66">
        <f>E11-SchoolageClassroom</f>
        <v>1</v>
      </c>
      <c r="B26" s="32" t="s">
        <v>177</v>
      </c>
      <c r="C26" s="10"/>
      <c r="D26" s="10">
        <f t="shared" si="2"/>
        <v>18720</v>
      </c>
      <c r="E26" s="48">
        <f>E24*0.6</f>
        <v>18720</v>
      </c>
      <c r="F26" s="48"/>
      <c r="G26" s="10"/>
      <c r="H26" s="10"/>
      <c r="I26" s="5"/>
      <c r="K26" s="14"/>
      <c r="L26" s="14"/>
      <c r="M26" s="14"/>
      <c r="N26" s="14"/>
    </row>
    <row r="27" spans="1:19" ht="19" customHeight="1">
      <c r="A27" s="66">
        <f>SUM(E7:E10)*F13</f>
        <v>1.8</v>
      </c>
      <c r="B27" s="33" t="s">
        <v>178</v>
      </c>
      <c r="C27" s="10"/>
      <c r="D27" s="10">
        <f t="shared" si="2"/>
        <v>56160</v>
      </c>
      <c r="E27" s="48">
        <f>E24</f>
        <v>31200</v>
      </c>
      <c r="F27" s="32" t="s">
        <v>179</v>
      </c>
      <c r="G27" s="455">
        <f>E27/2080</f>
        <v>15</v>
      </c>
      <c r="H27" s="455"/>
      <c r="I27" s="456">
        <f>E27/2080</f>
        <v>15</v>
      </c>
      <c r="J27" s="83"/>
      <c r="K27" s="455"/>
      <c r="L27" s="455"/>
      <c r="M27" s="455"/>
      <c r="N27" s="14"/>
      <c r="O27" s="36"/>
    </row>
    <row r="28" spans="1:19" ht="19" customHeight="1">
      <c r="A28" s="66"/>
      <c r="B28" s="33" t="s">
        <v>180</v>
      </c>
      <c r="C28" s="10"/>
      <c r="D28" s="10">
        <f t="shared" si="2"/>
        <v>0</v>
      </c>
      <c r="E28" s="425">
        <f>E27</f>
        <v>31200</v>
      </c>
      <c r="F28" s="48"/>
      <c r="G28" s="10"/>
      <c r="H28" s="10"/>
      <c r="I28" s="202"/>
      <c r="J28" s="32"/>
      <c r="K28" s="14"/>
      <c r="L28" s="14"/>
      <c r="M28" s="14"/>
      <c r="N28" s="14"/>
    </row>
    <row r="29" spans="1:19">
      <c r="A29" s="75">
        <f>SUM(A23:A28)</f>
        <v>12.8</v>
      </c>
      <c r="B29" s="35" t="s">
        <v>181</v>
      </c>
      <c r="D29" s="74">
        <f>SUM(D23:D28)</f>
        <v>408383.02114803623</v>
      </c>
      <c r="F29" s="208"/>
      <c r="L29" s="10"/>
    </row>
    <row r="30" spans="1:19">
      <c r="B30" s="35" t="s">
        <v>182</v>
      </c>
      <c r="D30" s="10">
        <f>D21+D29</f>
        <v>543398.4290030211</v>
      </c>
      <c r="F30" s="10"/>
    </row>
    <row r="31" spans="1:19" ht="7.5" customHeight="1">
      <c r="B31" s="35"/>
    </row>
    <row r="32" spans="1:19">
      <c r="B32" s="32" t="s">
        <v>183</v>
      </c>
      <c r="D32" s="10">
        <f>SUM(A23:A27)*E32*8*I27</f>
        <v>15360</v>
      </c>
      <c r="E32" s="29">
        <f>Paid_Leave</f>
        <v>10</v>
      </c>
      <c r="F32" s="32" t="s">
        <v>184</v>
      </c>
    </row>
    <row r="33" spans="2:8">
      <c r="B33" s="32" t="s">
        <v>185</v>
      </c>
      <c r="D33" s="14">
        <f>SUM(A23:A27)*E33*8*(I27+O27)</f>
        <v>15360</v>
      </c>
      <c r="E33" s="29">
        <f>Sick_Days</f>
        <v>10</v>
      </c>
      <c r="F33" s="32" t="s">
        <v>186</v>
      </c>
    </row>
    <row r="34" spans="2:8">
      <c r="B34" s="38" t="s">
        <v>187</v>
      </c>
      <c r="D34" s="317">
        <f>E34*I27</f>
        <v>765</v>
      </c>
      <c r="E34" s="29">
        <f>IF(RatioOpt="Licensing",(7*A18+4*A23+4*A25+4*A24+4*A26),
IF(RatioOpt="Star 1",(7*A18+4*A23+4*A25+4*A24+4*A26),
IF(RatioOpt="Star 2",(12*A18+14*A23+14*A25+6*A24+6*A26),
IF(RatioOpt="Star 3",(10*A18+10*A23+10*A25+6*A24+6*A26),
IF(RatioOpt="Star 4",(15*A18+15*A23+15*A25+15*A24+15*A26),IF(RatioOpt="Star 5",(6*A18+36*A23+36*A25+36*A24+36*A26))))
)))</f>
        <v>51</v>
      </c>
      <c r="F34" s="32" t="s">
        <v>188</v>
      </c>
      <c r="H34" s="31"/>
    </row>
    <row r="35" spans="2:8">
      <c r="B35" s="35" t="s">
        <v>189</v>
      </c>
      <c r="D35" s="14">
        <f>SUM(D32:D34)</f>
        <v>31485</v>
      </c>
      <c r="F35" s="32"/>
    </row>
    <row r="36" spans="2:8" ht="6.5" customHeight="1">
      <c r="B36" s="35"/>
      <c r="D36" s="13"/>
      <c r="F36" s="32"/>
    </row>
    <row r="37" spans="2:8">
      <c r="B37" s="9" t="s">
        <v>190</v>
      </c>
      <c r="C37" s="11"/>
      <c r="D37" s="15">
        <f>D30+D35</f>
        <v>574883.4290030211</v>
      </c>
    </row>
    <row r="38" spans="2:8">
      <c r="B38" s="65" t="s">
        <v>191</v>
      </c>
    </row>
    <row r="39" spans="2:8">
      <c r="B39" s="32" t="s">
        <v>192</v>
      </c>
      <c r="C39" s="71">
        <v>6.2E-2</v>
      </c>
      <c r="D39" s="14">
        <f>C39*D37</f>
        <v>35642.772598187308</v>
      </c>
      <c r="G39" s="32"/>
    </row>
    <row r="40" spans="2:8" ht="12.5" customHeight="1">
      <c r="B40" t="s">
        <v>193</v>
      </c>
      <c r="C40" s="71">
        <v>1.4500000000000001E-2</v>
      </c>
      <c r="D40" s="14">
        <f>C40*D37</f>
        <v>8335.8097205438062</v>
      </c>
      <c r="F40" s="32"/>
      <c r="G40" s="21"/>
    </row>
    <row r="41" spans="2:8" ht="18.5" customHeight="1">
      <c r="B41" s="32" t="s">
        <v>194</v>
      </c>
      <c r="C41" s="98">
        <v>5.0000000000000001E-3</v>
      </c>
      <c r="D41" s="10">
        <f>C41*D37</f>
        <v>2874.4171450151057</v>
      </c>
      <c r="E41" s="77"/>
      <c r="F41" s="38"/>
    </row>
    <row r="42" spans="2:8" ht="15" customHeight="1">
      <c r="B42" t="s">
        <v>195</v>
      </c>
      <c r="C42" s="98">
        <v>0.02</v>
      </c>
      <c r="D42" s="14">
        <f>C42*D37</f>
        <v>11497.668580060423</v>
      </c>
      <c r="E42" s="77"/>
      <c r="F42" s="38"/>
    </row>
    <row r="43" spans="2:8" ht="12.5" customHeight="1">
      <c r="B43" s="9" t="s">
        <v>196</v>
      </c>
      <c r="C43" s="72">
        <f>SUM(C39:C42)</f>
        <v>0.10150000000000001</v>
      </c>
      <c r="D43" s="14">
        <f>SUM(D39:D42)</f>
        <v>58350.668043806647</v>
      </c>
      <c r="E43" s="10">
        <f>Personnel-AdditionalBenefits</f>
        <v>633234.09704682778</v>
      </c>
      <c r="F43" s="269">
        <f>E43/D60</f>
        <v>0.57085052071925002</v>
      </c>
      <c r="G43" s="21"/>
    </row>
    <row r="44" spans="2:8">
      <c r="B44" s="65" t="s">
        <v>197</v>
      </c>
      <c r="C44" s="16"/>
      <c r="D44" s="17"/>
      <c r="E44" s="10"/>
    </row>
    <row r="45" spans="2:8">
      <c r="B45" s="38" t="s">
        <v>198</v>
      </c>
      <c r="C45" s="470">
        <f>IF('Child Care Center'!D23='Child Care Center'!L29,5000,IF('Child Care Center'!D23='Child Care Center'!M29,6602,IF('Child Care Center'!D23='Child Care Center'!N29,7500,IF('Child Care Center'!D23='Child Care Center'!O29,10000,IF('Child Care Center'!D23='Child Care Center'!P29,0)))))</f>
        <v>6602</v>
      </c>
      <c r="D45" s="14">
        <f>Addl_benefits_per_staff*A17</f>
        <v>104311.6</v>
      </c>
      <c r="E45" s="5" t="s">
        <v>199</v>
      </c>
      <c r="F45" s="5"/>
    </row>
    <row r="46" spans="2:8">
      <c r="B46" s="38" t="s">
        <v>200</v>
      </c>
      <c r="C46" s="471">
        <f>'Child Care Center'!D24</f>
        <v>0</v>
      </c>
      <c r="D46" s="14">
        <f>C46*D30</f>
        <v>0</v>
      </c>
      <c r="E46" s="5"/>
      <c r="F46" s="5"/>
    </row>
    <row r="47" spans="2:8" ht="14">
      <c r="B47" s="35" t="s">
        <v>201</v>
      </c>
      <c r="C47" s="469"/>
      <c r="D47" s="13">
        <f>SUM(D45:D46)</f>
        <v>104311.6</v>
      </c>
      <c r="E47" s="5"/>
      <c r="F47" s="5"/>
    </row>
    <row r="48" spans="2:8">
      <c r="B48" s="20" t="s">
        <v>202</v>
      </c>
      <c r="C48" s="17"/>
      <c r="D48" s="15">
        <f>D37+D43+D47</f>
        <v>737545.69704682776</v>
      </c>
      <c r="E48" s="1">
        <f>D48/D60</f>
        <v>0.66488577790890613</v>
      </c>
      <c r="F48" t="s">
        <v>203</v>
      </c>
      <c r="G48">
        <f>Admin_Staff/Personnel</f>
        <v>0.18306039665825966</v>
      </c>
    </row>
    <row r="49" spans="1:12">
      <c r="B49" s="20"/>
      <c r="C49" s="17"/>
      <c r="D49" s="15"/>
      <c r="E49" s="1"/>
      <c r="H49" s="35"/>
    </row>
    <row r="50" spans="1:12">
      <c r="B50" s="2" t="s">
        <v>204</v>
      </c>
      <c r="C50" s="344">
        <v>0</v>
      </c>
      <c r="D50" s="350" t="s">
        <v>205</v>
      </c>
      <c r="E50" t="s">
        <v>206</v>
      </c>
      <c r="F50" t="s">
        <v>207</v>
      </c>
    </row>
    <row r="51" spans="1:12" ht="14" thickBot="1">
      <c r="A51" s="70"/>
      <c r="B51" s="38" t="s">
        <v>208</v>
      </c>
      <c r="C51" s="566">
        <f>'Child Care Center'!C40</f>
        <v>198117.04173</v>
      </c>
      <c r="E51" s="34">
        <f>SUM(((Nonpersonnel!D41*TotalChildren)*'Quality Center Profile'!C50),(Nonpersonnel!D41*TotalChildren))</f>
        <v>198117.04173</v>
      </c>
      <c r="F51" s="434">
        <f>'Child Care Center'!E40</f>
        <v>0</v>
      </c>
    </row>
    <row r="52" spans="1:12">
      <c r="A52" s="73"/>
      <c r="B52" s="38" t="s">
        <v>87</v>
      </c>
      <c r="C52" s="566">
        <f>'Child Care Center'!C41</f>
        <v>83722.100000000006</v>
      </c>
      <c r="E52" s="34">
        <f>SUM(((Nonpersonnel!D40*TotalClassrooms)*'Quality Center Profile'!C50),(Nonpersonnel!D40*TotalClassrooms))</f>
        <v>83722.100000000006</v>
      </c>
      <c r="F52" s="434">
        <f>'Child Care Center'!E41</f>
        <v>0</v>
      </c>
      <c r="H52" s="102" t="s">
        <v>209</v>
      </c>
      <c r="I52" s="103"/>
    </row>
    <row r="53" spans="1:12">
      <c r="A53" s="70"/>
      <c r="B53" s="38" t="s">
        <v>210</v>
      </c>
      <c r="C53" s="566">
        <f>'Child Care Center'!C42</f>
        <v>34074.024859999998</v>
      </c>
      <c r="E53" s="34">
        <f>SUM(((Nonpersonnel!D39*TotalChildren)*'Quality Center Profile'!C50),(Nonpersonnel!D39*TotalChildren))</f>
        <v>34074.024859999998</v>
      </c>
      <c r="F53" s="434">
        <f>'Child Care Center'!E42</f>
        <v>0</v>
      </c>
      <c r="G53" s="16"/>
      <c r="H53" s="104" t="str">
        <f>B7</f>
        <v>Infant (0-11 months)</v>
      </c>
      <c r="I53" s="105">
        <f>H7*A7</f>
        <v>219364.25424888486</v>
      </c>
    </row>
    <row r="54" spans="1:12">
      <c r="A54" s="70"/>
      <c r="B54" s="38" t="s">
        <v>127</v>
      </c>
      <c r="C54" s="566">
        <f>'Child Care Center'!C43</f>
        <v>3000</v>
      </c>
      <c r="E54" s="34">
        <f>'Child Care Center'!D29*(TotalChildren*2*G27)</f>
        <v>3000</v>
      </c>
      <c r="F54" s="434">
        <f>'Child Care Center'!E43</f>
        <v>0</v>
      </c>
      <c r="G54" s="16"/>
      <c r="H54" s="104" t="str">
        <f t="shared" ref="H54:H57" si="3">B8</f>
        <v>Toddler (12-23 months)</v>
      </c>
      <c r="I54" s="105">
        <f t="shared" ref="I54:I57" si="4">H8*A8</f>
        <v>188164.25424888483</v>
      </c>
    </row>
    <row r="55" spans="1:12">
      <c r="B55" s="38" t="s">
        <v>66</v>
      </c>
      <c r="C55" s="566">
        <f>'Child Care Center'!C44</f>
        <v>0</v>
      </c>
      <c r="E55" s="34">
        <f>'Child Care Center'!D30*'Child Care Center'!F30</f>
        <v>0</v>
      </c>
      <c r="F55" s="434">
        <f>'Child Care Center'!E44</f>
        <v>0</v>
      </c>
      <c r="H55" s="104" t="str">
        <f t="shared" si="3"/>
        <v>2-3 years</v>
      </c>
      <c r="I55" s="105">
        <f t="shared" si="4"/>
        <v>216198.66123416269</v>
      </c>
    </row>
    <row r="56" spans="1:12">
      <c r="A56" s="70"/>
      <c r="B56" s="38" t="s">
        <v>93</v>
      </c>
      <c r="C56" s="566">
        <f>'Child Care Center'!C45</f>
        <v>0</v>
      </c>
      <c r="E56" s="34">
        <f>(Nonpersonnel!B50+Nonpersonnel!B49)</f>
        <v>0</v>
      </c>
      <c r="F56" s="434">
        <f>'Child Care Center'!E45</f>
        <v>0</v>
      </c>
      <c r="H56" s="104" t="str">
        <f t="shared" si="3"/>
        <v>3-5 year-olds</v>
      </c>
      <c r="I56" s="105">
        <f t="shared" si="4"/>
        <v>244233.06821944049</v>
      </c>
    </row>
    <row r="57" spans="1:12">
      <c r="A57" s="70"/>
      <c r="B57" s="20" t="s">
        <v>211</v>
      </c>
      <c r="C57" s="15"/>
      <c r="D57" s="69">
        <f>SUM(E51:E56)</f>
        <v>318913.16659000004</v>
      </c>
      <c r="E57" s="1">
        <f>D57/D60</f>
        <v>0.28749517447204626</v>
      </c>
      <c r="F57" t="s">
        <v>203</v>
      </c>
      <c r="H57" s="104" t="str">
        <f t="shared" si="3"/>
        <v>School age</v>
      </c>
      <c r="I57" s="105">
        <f t="shared" si="4"/>
        <v>241321.56886729633</v>
      </c>
    </row>
    <row r="58" spans="1:12" ht="13" customHeight="1">
      <c r="A58" s="70"/>
      <c r="B58" s="20" t="s">
        <v>212</v>
      </c>
      <c r="C58" s="15"/>
      <c r="D58" s="69">
        <f>SUM(D57:D57)</f>
        <v>318913.16659000004</v>
      </c>
      <c r="E58" s="1">
        <f>D58/D60</f>
        <v>0.28749517447204626</v>
      </c>
      <c r="F58" s="32" t="s">
        <v>203</v>
      </c>
      <c r="H58" s="106" t="s">
        <v>160</v>
      </c>
      <c r="I58" s="107">
        <f>SUM(I53:I57)</f>
        <v>1109281.8068186692</v>
      </c>
      <c r="K58" s="35"/>
      <c r="L58" s="10"/>
    </row>
    <row r="59" spans="1:12">
      <c r="A59" s="70"/>
      <c r="B59" s="38" t="s">
        <v>213</v>
      </c>
      <c r="D59" s="34">
        <f>E59*(Personnel+Nonpersonnel)</f>
        <v>52822.943181841394</v>
      </c>
      <c r="E59" s="12">
        <f>'Child Care Center'!D35</f>
        <v>0.05</v>
      </c>
      <c r="F59" t="s">
        <v>203</v>
      </c>
      <c r="G59" s="11">
        <f>D60/12</f>
        <v>92440.150568222438</v>
      </c>
      <c r="I59" s="246">
        <f>I58-D60</f>
        <v>0</v>
      </c>
    </row>
    <row r="60" spans="1:12">
      <c r="B60" s="20" t="s">
        <v>214</v>
      </c>
      <c r="D60" s="56">
        <f>SUM(Personnel,D58,Reserve_Fund)</f>
        <v>1109281.8068186692</v>
      </c>
      <c r="E60" s="5"/>
    </row>
    <row r="61" spans="1:12">
      <c r="A61" s="32" t="s">
        <v>215</v>
      </c>
      <c r="D61" s="307"/>
      <c r="G61" s="272"/>
      <c r="H61" s="272"/>
      <c r="I61" s="272"/>
      <c r="J61" s="272"/>
      <c r="K61" s="272"/>
    </row>
    <row r="62" spans="1:12" ht="14">
      <c r="A62" s="227">
        <f>SUM(A65:A66)</f>
        <v>97</v>
      </c>
      <c r="D62" s="34"/>
      <c r="E62" s="303" t="s">
        <v>216</v>
      </c>
      <c r="F62" s="302"/>
      <c r="G62" s="302"/>
      <c r="H62" s="302"/>
      <c r="I62" s="302"/>
      <c r="J62" s="32"/>
    </row>
    <row r="63" spans="1:12" ht="14">
      <c r="A63" s="83"/>
      <c r="B63" s="304"/>
      <c r="C63" s="316"/>
      <c r="D63" s="303" t="s">
        <v>217</v>
      </c>
      <c r="E63" s="32"/>
      <c r="I63" s="10"/>
      <c r="J63" s="32"/>
    </row>
    <row r="64" spans="1:12">
      <c r="A64" s="234"/>
      <c r="B64" s="226" t="s">
        <v>94</v>
      </c>
      <c r="D64" s="24"/>
      <c r="E64" s="32"/>
    </row>
    <row r="65" spans="1:11">
      <c r="A65" s="234"/>
      <c r="B65" s="83" t="s">
        <v>218</v>
      </c>
      <c r="D65" s="881">
        <f>IF('Child Care Center'!C59="Yes",'Quality Center Profile'!E65,0)</f>
        <v>6185.4</v>
      </c>
      <c r="E65" s="19">
        <f>SUM(('Child Care Center'!C55*SUM(AVERAGE('Fed CACFP'!J7:J8)*52)))</f>
        <v>6185.4</v>
      </c>
      <c r="F65" s="52" t="str">
        <f>B7</f>
        <v>Infant (0-11 months)</v>
      </c>
      <c r="G65" s="52" t="str">
        <f>B9</f>
        <v>2-3 years</v>
      </c>
      <c r="H65" s="52" t="str">
        <f>B10</f>
        <v>3-5 year-olds</v>
      </c>
      <c r="I65" s="52" t="str">
        <f>B11</f>
        <v>School age</v>
      </c>
      <c r="J65" s="52">
        <f>C11</f>
        <v>40</v>
      </c>
    </row>
    <row r="66" spans="1:11">
      <c r="A66" s="234">
        <f>'Child Care Center'!D55</f>
        <v>97</v>
      </c>
      <c r="B66" s="83" t="s">
        <v>219</v>
      </c>
      <c r="D66" s="24">
        <f>SUM(F66:I66)*12</f>
        <v>1040400</v>
      </c>
      <c r="F66" s="305">
        <f>'Child Care Center'!F50*'Child Care Center'!D50</f>
        <v>16500</v>
      </c>
      <c r="G66" s="305">
        <f>'Child Care Center'!F52*'Child Care Center'!D52</f>
        <v>19200</v>
      </c>
      <c r="H66" s="305">
        <f>'Child Care Center'!F53*'Child Care Center'!D53</f>
        <v>19000</v>
      </c>
      <c r="I66" s="305">
        <f>'Child Care Center'!F54*'Child Care Center'!D54</f>
        <v>32000</v>
      </c>
      <c r="J66" s="305">
        <f>'Child Care Center'!G54*'Child Care Center'!E54</f>
        <v>0</v>
      </c>
    </row>
    <row r="67" spans="1:11">
      <c r="A67" s="234">
        <f>'Child Care Center'!C55</f>
        <v>3</v>
      </c>
      <c r="B67" s="83" t="s">
        <v>96</v>
      </c>
      <c r="D67" s="24">
        <f>IF('Child Care Center'!C58="Yes",SUM('Quality Center Profile'!E67*115%),'Quality Center Profile'!E67)</f>
        <v>29380</v>
      </c>
      <c r="E67">
        <f>SUM(F67:I67)*12</f>
        <v>29380</v>
      </c>
      <c r="F67" s="232">
        <f>IF(RatioOpt="Licensing",('Child Care Center'!C50*'Subsidy rates'!B3),
IF(RatioOpt="Star 1",('Child Care Center'!C50*'Subsidy rates'!B3),
IF(RatioOpt="Star 2",('Child Care Center'!C50*'Subsidy rates'!C3),
IF(RatioOpt="Star 3",('Child Care Center'!C50*'Subsidy rates'!D3),
IF(RatioOpt="Star 4",('Child Care Center'!C50*'Subsidy rates'!E3),
IF(RatioOpt="Star 5",('Child Care Center'!C50*'Subsidy rates'!F3),))))))</f>
        <v>1256.6666666666667</v>
      </c>
      <c r="G67" s="232">
        <f>IF(RatioOpt="Licensing",('Child Care Center'!C52*'Subsidy rates'!B5),
IF(RatioOpt="Star 1",('Child Care Center'!C52*'Subsidy rates'!B5),
IF(RatioOpt="Star 2",('Child Care Center'!C52*'Subsidy rates'!C5),
IF(RatioOpt="Star 3",('Child Care Center'!C52*'Subsidy rates'!D5),
IF(RatioOpt="Star 4",('Child Care Center'!C52*'Subsidy rates'!E5),
IF(RatioOpt="Star 5",('Child Care Center'!C52*'Subsidy rates'!F5),))))))</f>
        <v>0</v>
      </c>
      <c r="H67" s="232">
        <f>IF(RatioOpt="Licensing",('Child Care Center'!C53*'Subsidy rates'!B6),
IF(RatioOpt="Star 1",('Child Care Center'!C53*'Subsidy rates'!B6),
IF(RatioOpt="Star 2",('Child Care Center'!C53*'Subsidy rates'!C6),
IF(RatioOpt="Star 3",('Child Care Center'!C53*'Subsidy rates'!D6),
IF(RatioOpt="Star 4",('Child Care Center'!C53*'Subsidy rates'!E6),
IF(RatioOpt="Star 5",('Child Care Center'!C53*'Subsidy rates'!F6),))))))</f>
        <v>1191.6666666666667</v>
      </c>
      <c r="I67" s="232">
        <f>IF(RatioOpt="Licensing",('Child Care Center'!C54*'Subsidy rates'!B8),
IF(RatioOpt="Star 1",('Child Care Center'!C54*'Subsidy rates'!B8),
IF(RatioOpt="Star 2",('Child Care Center'!C54*'Subsidy rates'!C8),
IF(RatioOpt="Star 3",('Child Care Center'!C54*'Subsidy rates'!D8),
IF(RatioOpt="Star 4",('Child Care Center'!C54*'Subsidy rates'!E8),
IF(RatioOpt="Star 5",('Child Care Center'!C54*'Subsidy rates'!F8),))))))</f>
        <v>0</v>
      </c>
      <c r="J67" s="232">
        <f>IF(RatioOpt="Licensing",('Child Care Center'!D54*'Subsidy rates'!C8),
IF(RatioOpt="Star 1",('Child Care Center'!D54*'Subsidy rates'!C8),
IF(RatioOpt="Star 2",('Child Care Center'!D54*'Subsidy rates'!D8),
IF(RatioOpt="Star 3",('Child Care Center'!D54*'Subsidy rates'!E8),
IF(RatioOpt="Star 4",('Child Care Center'!D54*'Subsidy rates'!F8),
IF(RatioOpt="Star 5",('Child Care Center'!D54*'Subsidy rates'!G8),))))))</f>
        <v>45500</v>
      </c>
    </row>
    <row r="68" spans="1:11">
      <c r="A68" s="83"/>
      <c r="B68" s="83" t="s">
        <v>220</v>
      </c>
      <c r="D68" s="24">
        <f>IF(F1="Small",F68,IF(F1="Medium",G68,IF(F1="Large",H68)))</f>
        <v>0</v>
      </c>
      <c r="F68" s="431">
        <f>IF(E1="Star 2",1250,IF(E1="Star 3",1875,IF(E1="Star 4",2500,IF(E1="Star 5",3125))))*4</f>
        <v>0</v>
      </c>
      <c r="G68" s="431">
        <f>IF(E1="Star 2",1625,IF(E1="Star 3",2500,IF(E1="Star 4",3375,IF(E1="Star 5",4250))))*4</f>
        <v>0</v>
      </c>
      <c r="H68" s="431">
        <f>IF(E1="Star 2",2063,IF(E1="Star 3",3125,IF(E1="Star 4",4063,IF(E1="Star 5",5000))))*4</f>
        <v>0</v>
      </c>
      <c r="I68" s="350"/>
    </row>
    <row r="69" spans="1:11">
      <c r="A69" s="83"/>
      <c r="B69" s="83" t="s">
        <v>221</v>
      </c>
      <c r="D69" s="503">
        <f>'Child Care Center'!C60</f>
        <v>0</v>
      </c>
      <c r="E69" s="32"/>
      <c r="F69" s="432" t="s">
        <v>222</v>
      </c>
      <c r="G69" s="433" t="s">
        <v>223</v>
      </c>
      <c r="H69" s="432" t="s">
        <v>224</v>
      </c>
    </row>
    <row r="70" spans="1:11">
      <c r="B70" s="233" t="s">
        <v>225</v>
      </c>
      <c r="D70" s="69">
        <f>SUM(D65:D69)</f>
        <v>1075965.3999999999</v>
      </c>
      <c r="E70" s="33" t="s">
        <v>226</v>
      </c>
      <c r="K70" s="2"/>
    </row>
    <row r="72" spans="1:11">
      <c r="B72" s="237" t="s">
        <v>227</v>
      </c>
    </row>
    <row r="73" spans="1:11">
      <c r="B73" s="38" t="s">
        <v>228</v>
      </c>
      <c r="C73" s="235">
        <f>EnrollEffic</f>
        <v>0.85</v>
      </c>
      <c r="D73" s="34">
        <f>C73*D70</f>
        <v>914570.58999999985</v>
      </c>
      <c r="H73" s="246"/>
    </row>
    <row r="74" spans="1:11">
      <c r="B74" s="38" t="s">
        <v>229</v>
      </c>
      <c r="C74" s="235">
        <f>BadDebt</f>
        <v>0.03</v>
      </c>
      <c r="D74" s="236">
        <f>C74*D70</f>
        <v>32278.961999999996</v>
      </c>
      <c r="E74" s="24">
        <f>SUM(D70-D73)+D74</f>
        <v>193673.77200000006</v>
      </c>
      <c r="H74" s="246"/>
    </row>
    <row r="75" spans="1:11">
      <c r="D75" s="69">
        <f>SUM(D73-D74)</f>
        <v>882291.62799999991</v>
      </c>
      <c r="E75" s="33"/>
    </row>
    <row r="76" spans="1:11">
      <c r="B76" t="s">
        <v>230</v>
      </c>
      <c r="D76" s="24">
        <f>SUM(D75:D75)</f>
        <v>882291.62799999991</v>
      </c>
    </row>
    <row r="77" spans="1:11">
      <c r="B77" s="238" t="s">
        <v>139</v>
      </c>
      <c r="C77" s="238"/>
      <c r="D77" s="239">
        <f>D76-D60</f>
        <v>-226990.17881866929</v>
      </c>
      <c r="E77" s="240">
        <f>D77/D60</f>
        <v>-0.20462805521859123</v>
      </c>
      <c r="F77" s="238" t="s">
        <v>203</v>
      </c>
    </row>
  </sheetData>
  <mergeCells count="1">
    <mergeCell ref="G13:I13"/>
  </mergeCells>
  <phoneticPr fontId="9" type="noConversion"/>
  <conditionalFormatting sqref="Z12">
    <cfRule type="cellIs" dxfId="3" priority="4" operator="equal">
      <formula>$E$56</formula>
    </cfRule>
  </conditionalFormatting>
  <pageMargins left="0.25" right="0.25" top="0.25" bottom="0.25" header="0" footer="0"/>
  <pageSetup paperSize="5" scale="92" orientation="landscape" horizontalDpi="4294967293" verticalDpi="0" r:id="rId1"/>
  <headerFooter alignWithMargins="0"/>
  <rowBreaks count="1" manualBreakCount="1">
    <brk id="48" max="16383" man="1"/>
  </rowBreaks>
  <colBreaks count="1" manualBreakCount="1">
    <brk id="17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11DD6-CA82-284C-B4CF-FC00B4ADCB13}">
  <sheetPr codeName="Sheet3">
    <tabColor theme="6" tint="-0.499984740745262"/>
  </sheetPr>
  <dimension ref="A1:V223"/>
  <sheetViews>
    <sheetView workbookViewId="0">
      <selection activeCell="C10" sqref="C10"/>
    </sheetView>
  </sheetViews>
  <sheetFormatPr baseColWidth="10" defaultColWidth="8.83203125" defaultRowHeight="13"/>
  <cols>
    <col min="1" max="1" width="3.1640625" style="710" customWidth="1"/>
    <col min="2" max="2" width="34.5" style="116" customWidth="1"/>
    <col min="3" max="3" width="28.1640625" style="116" customWidth="1"/>
    <col min="4" max="4" width="25.6640625" style="116" customWidth="1"/>
    <col min="5" max="5" width="18.6640625" style="116" customWidth="1"/>
    <col min="6" max="6" width="14.6640625" style="116" customWidth="1"/>
    <col min="7" max="7" width="23.6640625" style="116" customWidth="1"/>
    <col min="8" max="8" width="15.33203125" style="116" customWidth="1"/>
    <col min="9" max="9" width="15.5" style="116" customWidth="1"/>
    <col min="10" max="10" width="18.83203125" style="116" customWidth="1"/>
    <col min="11" max="11" width="21.33203125" style="116" customWidth="1"/>
    <col min="12" max="12" width="11" style="116" customWidth="1"/>
    <col min="13" max="14" width="12" style="116" customWidth="1"/>
    <col min="15" max="15" width="12.5" style="116" customWidth="1"/>
    <col min="16" max="16" width="11.1640625" style="116" customWidth="1"/>
    <col min="17" max="17" width="11" style="116" customWidth="1"/>
    <col min="18" max="18" width="12.5" style="116" customWidth="1"/>
    <col min="19" max="16384" width="8.83203125" style="116"/>
  </cols>
  <sheetData>
    <row r="1" spans="1:19" ht="41" customHeight="1" thickTop="1">
      <c r="A1" s="777"/>
      <c r="B1" s="778" t="s">
        <v>231</v>
      </c>
      <c r="C1" s="779"/>
      <c r="D1" s="779"/>
      <c r="E1" s="779"/>
      <c r="F1" s="779"/>
      <c r="G1" s="779"/>
      <c r="H1" s="779"/>
      <c r="I1" s="779"/>
      <c r="J1" s="780"/>
      <c r="K1" s="263"/>
      <c r="L1" s="263"/>
    </row>
    <row r="2" spans="1:19" ht="24" customHeight="1">
      <c r="A2" s="781"/>
      <c r="B2" s="782" t="s">
        <v>232</v>
      </c>
      <c r="C2" s="760"/>
      <c r="D2" s="711" t="s">
        <v>8</v>
      </c>
      <c r="E2" s="867" t="s">
        <v>1</v>
      </c>
      <c r="F2" s="710"/>
      <c r="G2" s="676" t="s">
        <v>1</v>
      </c>
      <c r="H2" s="676" t="s">
        <v>2</v>
      </c>
      <c r="I2" s="676" t="s">
        <v>3</v>
      </c>
      <c r="J2" s="663" t="s">
        <v>4</v>
      </c>
      <c r="K2" s="263" t="s">
        <v>5</v>
      </c>
      <c r="L2" s="263" t="s">
        <v>6</v>
      </c>
      <c r="M2" s="117"/>
    </row>
    <row r="3" spans="1:19" ht="22" customHeight="1">
      <c r="A3" s="781"/>
      <c r="B3" s="927" t="s">
        <v>9</v>
      </c>
      <c r="C3" s="927"/>
      <c r="D3" s="712" t="s">
        <v>10</v>
      </c>
      <c r="E3" s="301" t="s">
        <v>11</v>
      </c>
      <c r="F3" s="710"/>
      <c r="G3" s="761"/>
      <c r="H3" s="710"/>
      <c r="I3" s="676" t="s">
        <v>11</v>
      </c>
      <c r="J3" s="663"/>
      <c r="K3" s="263"/>
      <c r="L3" s="263"/>
      <c r="M3" s="117"/>
    </row>
    <row r="4" spans="1:19" ht="13" customHeight="1">
      <c r="A4" s="781"/>
      <c r="B4" s="927"/>
      <c r="C4" s="927"/>
      <c r="D4" s="762"/>
      <c r="E4" s="762"/>
      <c r="F4" s="762"/>
      <c r="G4" s="762"/>
      <c r="H4" s="762"/>
      <c r="I4" s="762"/>
      <c r="J4" s="783"/>
      <c r="K4" s="263"/>
      <c r="L4" s="263"/>
    </row>
    <row r="5" spans="1:19">
      <c r="A5" s="781"/>
      <c r="B5" s="928"/>
      <c r="C5" s="928"/>
      <c r="D5" s="710"/>
      <c r="E5" s="710"/>
      <c r="F5" s="710"/>
      <c r="G5" s="710"/>
      <c r="H5" s="710"/>
      <c r="I5" s="763"/>
      <c r="J5" s="784"/>
      <c r="K5" s="119"/>
      <c r="L5" s="118"/>
      <c r="M5" s="120"/>
    </row>
    <row r="6" spans="1:19" ht="15" customHeight="1">
      <c r="A6" s="781"/>
      <c r="B6" s="739" t="s">
        <v>233</v>
      </c>
      <c r="C6" s="740"/>
      <c r="D6" s="740"/>
      <c r="E6" s="740"/>
      <c r="F6" s="740"/>
      <c r="G6" s="740"/>
      <c r="H6" s="740"/>
      <c r="I6" s="741"/>
      <c r="J6" s="785"/>
      <c r="K6" s="119"/>
      <c r="L6" s="118"/>
      <c r="M6" s="120"/>
    </row>
    <row r="7" spans="1:19" ht="15" customHeight="1">
      <c r="A7" s="781"/>
      <c r="B7" s="733" t="s">
        <v>13</v>
      </c>
      <c r="C7" s="734" t="s">
        <v>14</v>
      </c>
      <c r="D7" s="710"/>
      <c r="E7" s="764"/>
      <c r="F7" s="763"/>
      <c r="G7" s="710"/>
      <c r="H7" s="710"/>
      <c r="I7" s="763"/>
      <c r="J7" s="784"/>
    </row>
    <row r="8" spans="1:19" ht="15" customHeight="1">
      <c r="A8" s="781"/>
      <c r="B8" s="714" t="s">
        <v>500</v>
      </c>
      <c r="C8" s="871">
        <v>1</v>
      </c>
      <c r="D8" s="710"/>
      <c r="E8" s="710"/>
      <c r="F8" s="710"/>
      <c r="G8" s="765"/>
      <c r="H8" s="765"/>
      <c r="I8" s="710"/>
      <c r="J8" s="784"/>
    </row>
    <row r="9" spans="1:19" ht="15" customHeight="1">
      <c r="A9" s="781"/>
      <c r="B9" s="715" t="s">
        <v>499</v>
      </c>
      <c r="C9" s="871">
        <v>1</v>
      </c>
      <c r="D9" s="710"/>
      <c r="E9" s="710"/>
      <c r="F9" s="710"/>
      <c r="G9" s="765"/>
      <c r="H9" s="765"/>
      <c r="I9" s="710"/>
      <c r="J9" s="784"/>
    </row>
    <row r="10" spans="1:19" ht="15" customHeight="1">
      <c r="A10" s="781"/>
      <c r="B10" s="715" t="s">
        <v>498</v>
      </c>
      <c r="C10" s="871">
        <v>2</v>
      </c>
      <c r="D10" s="710"/>
      <c r="E10" s="710"/>
      <c r="F10" s="710"/>
      <c r="G10" s="765"/>
      <c r="H10" s="765"/>
      <c r="I10" s="710"/>
      <c r="J10" s="784"/>
    </row>
    <row r="11" spans="1:19" ht="15" customHeight="1">
      <c r="A11" s="781"/>
      <c r="B11" s="716" t="s">
        <v>22</v>
      </c>
      <c r="C11" s="872">
        <v>2</v>
      </c>
      <c r="D11" s="710"/>
      <c r="E11" s="710"/>
      <c r="F11" s="766"/>
      <c r="G11" s="767"/>
      <c r="H11" s="710"/>
      <c r="I11" s="765"/>
      <c r="J11" s="786"/>
    </row>
    <row r="12" spans="1:19" ht="15" customHeight="1">
      <c r="A12" s="781"/>
      <c r="B12" s="713" t="s">
        <v>23</v>
      </c>
      <c r="C12" s="718">
        <f>SUM(C8:C11)</f>
        <v>6</v>
      </c>
      <c r="D12" s="764" t="str">
        <f>IF(C12&lt;7,"FCC",IF(C12&gt;12," ","Group Home"))</f>
        <v>FCC</v>
      </c>
      <c r="E12" s="710"/>
      <c r="F12" s="768" t="str">
        <f>IF(C12&gt;12, "**ERROR-Too large**", " ")</f>
        <v xml:space="preserve"> </v>
      </c>
      <c r="G12" s="769"/>
      <c r="H12" s="769"/>
      <c r="I12" s="710"/>
      <c r="J12" s="784"/>
    </row>
    <row r="13" spans="1:19" ht="15" customHeight="1" thickBot="1">
      <c r="A13" s="781"/>
      <c r="B13" s="787"/>
      <c r="C13" s="769"/>
      <c r="D13" s="769"/>
      <c r="E13" s="769"/>
      <c r="F13" s="710"/>
      <c r="G13" s="769"/>
      <c r="H13" s="769"/>
      <c r="I13" s="710"/>
      <c r="J13" s="784"/>
    </row>
    <row r="14" spans="1:19" customFormat="1" ht="15" customHeight="1">
      <c r="A14" s="660"/>
      <c r="B14" s="736" t="s">
        <v>27</v>
      </c>
      <c r="C14" s="737"/>
      <c r="D14" s="738"/>
      <c r="E14" s="738"/>
      <c r="F14" s="738"/>
      <c r="G14" s="738"/>
      <c r="H14" s="738"/>
      <c r="I14" s="738"/>
      <c r="J14" s="785"/>
      <c r="K14" s="653" t="s">
        <v>26</v>
      </c>
      <c r="L14" s="536"/>
      <c r="M14" s="537"/>
      <c r="N14" s="537"/>
      <c r="O14" s="537"/>
      <c r="P14" s="537"/>
      <c r="Q14" s="537"/>
      <c r="R14" s="537"/>
      <c r="S14" s="538"/>
    </row>
    <row r="15" spans="1:19" customFormat="1" ht="15" customHeight="1" thickBot="1">
      <c r="A15" s="660"/>
      <c r="B15" s="788" t="s">
        <v>236</v>
      </c>
      <c r="C15" s="612" t="s">
        <v>33</v>
      </c>
      <c r="D15" s="825" t="s">
        <v>302</v>
      </c>
      <c r="E15" s="923" t="s">
        <v>36</v>
      </c>
      <c r="F15" s="662" t="s">
        <v>35</v>
      </c>
      <c r="G15" s="591"/>
      <c r="H15" s="664"/>
      <c r="I15" s="676"/>
      <c r="J15" s="784"/>
      <c r="K15" s="756" t="s">
        <v>31</v>
      </c>
      <c r="L15" s="539" t="str">
        <f>E2</f>
        <v>Licensing</v>
      </c>
      <c r="M15" s="526"/>
      <c r="N15" s="540"/>
      <c r="O15" s="540"/>
      <c r="P15" s="534"/>
      <c r="Q15" s="540"/>
      <c r="R15" s="540"/>
      <c r="S15" s="541"/>
    </row>
    <row r="16" spans="1:19" customFormat="1" ht="15" customHeight="1">
      <c r="A16" s="660"/>
      <c r="B16" s="788"/>
      <c r="C16" s="593"/>
      <c r="D16" s="594"/>
      <c r="E16" s="924"/>
      <c r="F16" s="100" t="s">
        <v>237</v>
      </c>
      <c r="G16" s="97" t="s">
        <v>238</v>
      </c>
      <c r="H16" s="664"/>
      <c r="I16" s="676"/>
      <c r="J16" s="784"/>
      <c r="K16" s="757"/>
      <c r="L16" s="573" t="str">
        <f>Wages!B2</f>
        <v>BLS</v>
      </c>
      <c r="M16" s="574"/>
      <c r="N16" s="573" t="str">
        <f>Wages!C2</f>
        <v>BLS, $15 min wage adjusted</v>
      </c>
      <c r="O16" s="574"/>
      <c r="P16" s="573" t="str">
        <f>Wages!D2</f>
        <v>Living Wage</v>
      </c>
      <c r="Q16" s="574"/>
      <c r="R16" s="571" t="str">
        <f>Wages!E2</f>
        <v>User added</v>
      </c>
      <c r="S16" s="572"/>
    </row>
    <row r="17" spans="1:19" customFormat="1" ht="15" customHeight="1" thickBot="1">
      <c r="A17" s="660"/>
      <c r="B17" s="673"/>
      <c r="C17" s="710"/>
      <c r="D17" s="116"/>
      <c r="E17" s="924"/>
      <c r="F17" s="869">
        <v>45</v>
      </c>
      <c r="G17" s="870">
        <v>15</v>
      </c>
      <c r="H17" s="710"/>
      <c r="I17" s="710"/>
      <c r="J17" s="784"/>
      <c r="K17" s="758" t="s">
        <v>40</v>
      </c>
      <c r="L17" s="535" t="s">
        <v>41</v>
      </c>
      <c r="M17" s="535" t="s">
        <v>42</v>
      </c>
      <c r="N17" s="535" t="s">
        <v>41</v>
      </c>
      <c r="O17" s="535" t="s">
        <v>42</v>
      </c>
      <c r="P17" s="535" t="s">
        <v>41</v>
      </c>
      <c r="Q17" s="535" t="s">
        <v>42</v>
      </c>
      <c r="R17" s="535" t="s">
        <v>41</v>
      </c>
      <c r="S17" s="542" t="s">
        <v>42</v>
      </c>
    </row>
    <row r="18" spans="1:19" customFormat="1" ht="15" customHeight="1">
      <c r="A18" s="660"/>
      <c r="B18" s="666"/>
      <c r="C18" s="710"/>
      <c r="D18" s="710"/>
      <c r="E18" s="710"/>
      <c r="F18" s="710"/>
      <c r="G18" s="710"/>
      <c r="H18" s="710"/>
      <c r="I18" s="710"/>
      <c r="J18" s="784"/>
      <c r="K18" s="758" t="s">
        <v>57</v>
      </c>
      <c r="L18" s="543">
        <f>Wages!B9</f>
        <v>45031.25</v>
      </c>
      <c r="M18" s="544">
        <f>L18/2080</f>
        <v>21.649639423076923</v>
      </c>
      <c r="N18" s="543">
        <f>Wages!C9</f>
        <v>53057.968277945612</v>
      </c>
      <c r="O18" s="544">
        <f>N18/2080</f>
        <v>25.508638595166161</v>
      </c>
      <c r="P18" s="543">
        <f>Wages!D9</f>
        <v>92188.650267999998</v>
      </c>
      <c r="Q18" s="544">
        <f>P18/2080</f>
        <v>44.321466475000001</v>
      </c>
      <c r="R18" s="543">
        <f>Wages!F9</f>
        <v>117000</v>
      </c>
      <c r="S18" s="545">
        <f>R18/2080</f>
        <v>56.25</v>
      </c>
    </row>
    <row r="19" spans="1:19" customFormat="1" ht="15" customHeight="1" thickBot="1">
      <c r="A19" s="660"/>
      <c r="B19" s="736" t="s">
        <v>45</v>
      </c>
      <c r="C19" s="735"/>
      <c r="D19" s="735"/>
      <c r="E19" s="735"/>
      <c r="F19" s="735"/>
      <c r="G19" s="735"/>
      <c r="H19" s="735"/>
      <c r="I19" s="735"/>
      <c r="J19" s="789"/>
      <c r="K19" s="759" t="s">
        <v>38</v>
      </c>
      <c r="L19" s="546">
        <f>Wages!B8</f>
        <v>26480</v>
      </c>
      <c r="M19" s="547">
        <f>L19/2080</f>
        <v>12.73076923076923</v>
      </c>
      <c r="N19" s="546">
        <f>Wages!C8</f>
        <v>31200</v>
      </c>
      <c r="O19" s="547">
        <f>N19/2080</f>
        <v>15</v>
      </c>
      <c r="P19" s="546">
        <f>Wages!D8</f>
        <v>51574.070079999998</v>
      </c>
      <c r="Q19" s="547">
        <f>P19/2080</f>
        <v>24.795226</v>
      </c>
      <c r="R19" s="546">
        <f>Wages!F7</f>
        <v>31200</v>
      </c>
      <c r="S19" s="548">
        <f>R19/2080</f>
        <v>15</v>
      </c>
    </row>
    <row r="20" spans="1:19" customFormat="1" ht="15" customHeight="1">
      <c r="A20" s="660"/>
      <c r="B20" s="710"/>
      <c r="C20" s="43" t="s">
        <v>198</v>
      </c>
      <c r="D20" s="825" t="s">
        <v>239</v>
      </c>
      <c r="E20" s="599" t="s">
        <v>240</v>
      </c>
      <c r="F20" s="591"/>
      <c r="G20" s="591"/>
      <c r="H20" s="591"/>
      <c r="I20" s="591"/>
      <c r="J20" s="784"/>
      <c r="K20" s="237" t="s">
        <v>58</v>
      </c>
      <c r="L20" s="116"/>
      <c r="M20" s="116"/>
      <c r="N20" s="116"/>
      <c r="O20" s="116"/>
      <c r="P20" s="116"/>
      <c r="Q20" s="116"/>
      <c r="R20" s="116"/>
      <c r="S20" s="116"/>
    </row>
    <row r="21" spans="1:19" customFormat="1" ht="15" customHeight="1">
      <c r="A21" s="660"/>
      <c r="B21" s="690"/>
      <c r="C21" s="43" t="s">
        <v>241</v>
      </c>
      <c r="D21" s="868">
        <v>0</v>
      </c>
      <c r="E21" s="599" t="s">
        <v>242</v>
      </c>
      <c r="F21" s="591"/>
      <c r="G21" s="591"/>
      <c r="H21" s="591"/>
      <c r="I21" s="591"/>
      <c r="J21" s="784"/>
      <c r="K21" s="116"/>
      <c r="L21" s="80"/>
      <c r="M21" s="80"/>
      <c r="N21" s="80"/>
      <c r="O21" s="80"/>
      <c r="P21" s="32"/>
      <c r="Q21" s="32"/>
      <c r="R21" s="32"/>
      <c r="S21" s="32"/>
    </row>
    <row r="22" spans="1:19" customFormat="1" ht="15" customHeight="1">
      <c r="A22" s="660"/>
      <c r="B22" s="686"/>
      <c r="C22" s="43" t="s">
        <v>52</v>
      </c>
      <c r="D22" s="830">
        <v>10</v>
      </c>
      <c r="E22" s="662" t="s">
        <v>53</v>
      </c>
      <c r="F22" s="591"/>
      <c r="G22" s="591"/>
      <c r="H22" s="591"/>
      <c r="I22" s="591"/>
      <c r="J22" s="669"/>
    </row>
    <row r="23" spans="1:19" customFormat="1" ht="15" customHeight="1">
      <c r="A23" s="660"/>
      <c r="B23" s="591"/>
      <c r="C23" s="717" t="s">
        <v>55</v>
      </c>
      <c r="D23" s="830">
        <v>10</v>
      </c>
      <c r="E23" s="662" t="s">
        <v>56</v>
      </c>
      <c r="F23" s="591"/>
      <c r="G23" s="591"/>
      <c r="H23" s="591"/>
      <c r="I23" s="591"/>
      <c r="J23" s="669"/>
    </row>
    <row r="24" spans="1:19" customFormat="1" ht="15" customHeight="1">
      <c r="A24" s="660"/>
      <c r="C24" s="617"/>
      <c r="D24" s="770"/>
      <c r="E24" s="662"/>
      <c r="F24" s="591"/>
      <c r="G24" s="591"/>
      <c r="H24" s="591"/>
      <c r="I24" s="591"/>
      <c r="J24" s="663" t="s">
        <v>239</v>
      </c>
      <c r="K24" s="78" t="s">
        <v>243</v>
      </c>
      <c r="L24" s="78" t="s">
        <v>244</v>
      </c>
      <c r="M24" s="78" t="s">
        <v>245</v>
      </c>
      <c r="N24" s="78" t="s">
        <v>65</v>
      </c>
    </row>
    <row r="25" spans="1:19" customFormat="1" ht="15" customHeight="1">
      <c r="A25" s="660"/>
      <c r="B25" s="727" t="s">
        <v>59</v>
      </c>
      <c r="C25" s="731"/>
      <c r="D25" s="732"/>
      <c r="E25" s="729"/>
      <c r="F25" s="728"/>
      <c r="G25" s="728"/>
      <c r="H25" s="728"/>
      <c r="I25" s="728"/>
      <c r="J25" s="789"/>
      <c r="K25" s="116"/>
      <c r="L25" s="116"/>
      <c r="M25" s="116"/>
      <c r="N25" s="116"/>
    </row>
    <row r="26" spans="1:19" customFormat="1" ht="15" customHeight="1">
      <c r="A26" s="660"/>
      <c r="B26" s="43" t="s">
        <v>246</v>
      </c>
      <c r="C26" s="64" t="s">
        <v>61</v>
      </c>
      <c r="D26" s="832">
        <v>0</v>
      </c>
      <c r="E26" s="679"/>
      <c r="F26" s="666"/>
      <c r="G26" s="591"/>
      <c r="H26" s="591"/>
      <c r="I26" s="591"/>
      <c r="J26" s="784"/>
      <c r="K26" s="116"/>
      <c r="L26" s="116"/>
      <c r="M26" s="116"/>
      <c r="N26" s="116"/>
    </row>
    <row r="27" spans="1:19" customFormat="1" ht="15" customHeight="1">
      <c r="A27" s="660"/>
      <c r="B27" s="43" t="s">
        <v>247</v>
      </c>
      <c r="C27" s="64" t="s">
        <v>67</v>
      </c>
      <c r="D27" s="814">
        <v>0</v>
      </c>
      <c r="E27" s="720" t="s">
        <v>68</v>
      </c>
      <c r="F27" s="873">
        <v>500</v>
      </c>
      <c r="G27" s="591"/>
      <c r="H27" s="591"/>
      <c r="I27" s="591"/>
      <c r="J27" s="790"/>
      <c r="K27" s="14"/>
      <c r="L27" s="585"/>
      <c r="M27" s="14"/>
      <c r="N27" s="32"/>
      <c r="O27" s="32"/>
      <c r="P27" s="32"/>
      <c r="Q27" s="32"/>
      <c r="R27" s="32"/>
    </row>
    <row r="28" spans="1:19" customFormat="1" ht="15" customHeight="1">
      <c r="A28" s="660"/>
      <c r="B28" s="602" t="s">
        <v>69</v>
      </c>
      <c r="C28" s="9"/>
      <c r="D28" s="603"/>
      <c r="E28" s="591"/>
      <c r="F28" s="591"/>
      <c r="G28" s="591"/>
      <c r="H28" s="591"/>
      <c r="I28" s="591"/>
      <c r="J28" s="791"/>
      <c r="K28" s="14"/>
      <c r="L28" s="83"/>
      <c r="M28" s="586"/>
      <c r="N28" s="586"/>
      <c r="O28" s="586"/>
      <c r="P28" s="586"/>
      <c r="Q28" s="586"/>
      <c r="R28" s="586"/>
    </row>
    <row r="29" spans="1:19" customFormat="1" ht="15" customHeight="1">
      <c r="A29" s="660"/>
      <c r="B29" s="604" t="s">
        <v>70</v>
      </c>
      <c r="C29" s="64" t="s">
        <v>71</v>
      </c>
      <c r="D29" s="830">
        <v>0</v>
      </c>
      <c r="E29" s="720" t="s">
        <v>72</v>
      </c>
      <c r="F29" s="873">
        <v>150</v>
      </c>
      <c r="G29" s="591"/>
      <c r="H29" s="591"/>
      <c r="I29" s="591"/>
      <c r="J29" s="791"/>
      <c r="K29" s="14"/>
      <c r="L29" s="587"/>
      <c r="M29" s="586"/>
      <c r="N29" s="586"/>
      <c r="O29" s="586"/>
      <c r="P29" s="586"/>
      <c r="Q29" s="586"/>
      <c r="R29" s="586"/>
    </row>
    <row r="30" spans="1:19" customFormat="1" ht="15" customHeight="1">
      <c r="A30" s="660"/>
      <c r="B30" s="604" t="s">
        <v>73</v>
      </c>
      <c r="C30" s="64" t="s">
        <v>248</v>
      </c>
      <c r="D30" s="833">
        <v>0</v>
      </c>
      <c r="E30" s="662"/>
      <c r="F30" s="591"/>
      <c r="G30" s="591"/>
      <c r="H30" s="591"/>
      <c r="I30" s="591"/>
      <c r="J30" s="791"/>
      <c r="K30" s="14"/>
      <c r="L30" s="929"/>
      <c r="M30" s="930"/>
      <c r="N30" s="930"/>
      <c r="O30" s="930"/>
      <c r="P30" s="930"/>
      <c r="Q30" s="930"/>
      <c r="R30" s="930"/>
    </row>
    <row r="31" spans="1:19" customFormat="1" ht="15" customHeight="1">
      <c r="A31" s="660"/>
      <c r="B31" s="43"/>
      <c r="C31" s="64"/>
      <c r="D31" s="719"/>
      <c r="E31" s="662"/>
      <c r="F31" s="635"/>
      <c r="G31" s="771"/>
      <c r="H31" s="591"/>
      <c r="I31" s="591"/>
      <c r="J31" s="791"/>
      <c r="K31" s="14"/>
      <c r="L31" s="588"/>
      <c r="M31" s="588"/>
      <c r="N31" s="588"/>
      <c r="O31" s="588"/>
      <c r="P31" s="588"/>
      <c r="Q31" s="588"/>
      <c r="R31" s="588"/>
    </row>
    <row r="32" spans="1:19" customFormat="1" ht="15" customHeight="1">
      <c r="A32" s="660"/>
      <c r="B32" s="605" t="s">
        <v>75</v>
      </c>
      <c r="C32" s="606" t="s">
        <v>76</v>
      </c>
      <c r="D32" s="834">
        <v>0.05</v>
      </c>
      <c r="E32" s="662"/>
      <c r="F32" s="635"/>
      <c r="G32" s="771"/>
      <c r="H32" s="591"/>
      <c r="I32" s="591"/>
      <c r="J32" s="791"/>
      <c r="K32" s="14"/>
      <c r="L32" s="589"/>
      <c r="M32" s="589"/>
      <c r="N32" s="589"/>
      <c r="O32" s="589"/>
      <c r="P32" s="589"/>
      <c r="Q32" s="589"/>
      <c r="R32" s="589"/>
    </row>
    <row r="33" spans="1:21" customFormat="1" ht="15" customHeight="1">
      <c r="A33" s="660"/>
      <c r="B33" s="792"/>
      <c r="C33" s="688"/>
      <c r="D33" s="721"/>
      <c r="E33" s="662"/>
      <c r="F33" s="635"/>
      <c r="G33" s="771"/>
      <c r="H33" s="591"/>
      <c r="I33" s="591"/>
      <c r="J33" s="791"/>
      <c r="K33" s="14"/>
      <c r="L33" s="589"/>
      <c r="M33" s="589"/>
      <c r="N33" s="589"/>
      <c r="O33" s="589"/>
      <c r="P33" s="589"/>
      <c r="Q33" s="589"/>
      <c r="R33" s="589"/>
    </row>
    <row r="34" spans="1:21" customFormat="1" ht="15" customHeight="1">
      <c r="A34" s="660"/>
      <c r="B34" s="727" t="s">
        <v>77</v>
      </c>
      <c r="C34" s="728"/>
      <c r="D34" s="728"/>
      <c r="E34" s="729"/>
      <c r="F34" s="730"/>
      <c r="G34" s="728"/>
      <c r="H34" s="728"/>
      <c r="I34" s="728"/>
      <c r="J34" s="793"/>
      <c r="K34" s="726" t="s">
        <v>249</v>
      </c>
      <c r="L34" s="726" t="s">
        <v>79</v>
      </c>
      <c r="M34" s="10"/>
      <c r="N34" s="10"/>
      <c r="O34" s="10"/>
      <c r="P34" s="10"/>
      <c r="Q34" s="10"/>
      <c r="R34" s="10"/>
      <c r="T34" s="78"/>
      <c r="U34" s="78" t="s">
        <v>79</v>
      </c>
    </row>
    <row r="35" spans="1:21" customFormat="1" ht="15" customHeight="1" thickBot="1">
      <c r="A35" s="660"/>
      <c r="B35" s="5"/>
      <c r="C35" s="874" t="s">
        <v>249</v>
      </c>
      <c r="D35" s="5" t="s">
        <v>80</v>
      </c>
      <c r="E35" s="5"/>
      <c r="F35" s="635"/>
      <c r="G35" s="591"/>
      <c r="H35" s="591"/>
      <c r="I35" s="591"/>
      <c r="J35" s="682"/>
      <c r="K35" s="590"/>
      <c r="L35" s="896"/>
      <c r="M35" s="896"/>
      <c r="N35" s="896"/>
      <c r="O35" s="896"/>
      <c r="P35" s="896"/>
      <c r="Q35" s="896"/>
      <c r="R35" s="896"/>
    </row>
    <row r="36" spans="1:21" customFormat="1" ht="15" customHeight="1">
      <c r="A36" s="660"/>
      <c r="B36" s="725" t="s">
        <v>81</v>
      </c>
      <c r="C36" s="722" t="s">
        <v>82</v>
      </c>
      <c r="D36" s="567" t="s">
        <v>83</v>
      </c>
      <c r="E36" s="897" t="s">
        <v>84</v>
      </c>
      <c r="F36" s="591"/>
      <c r="G36" s="591"/>
      <c r="H36" s="591"/>
      <c r="I36" s="591"/>
      <c r="J36" s="682"/>
      <c r="K36" s="590"/>
      <c r="L36" s="896"/>
      <c r="M36" s="896"/>
      <c r="N36" s="896"/>
      <c r="O36" s="896"/>
      <c r="P36" s="896"/>
      <c r="Q36" s="896"/>
      <c r="R36" s="896"/>
    </row>
    <row r="37" spans="1:21" customFormat="1" ht="15" customHeight="1">
      <c r="A37" s="660"/>
      <c r="B37" s="42" t="s">
        <v>85</v>
      </c>
      <c r="C37" s="723">
        <f>IF($C$35="Default Values",D37,E37)</f>
        <v>3657.3945019999992</v>
      </c>
      <c r="D37" s="564">
        <f>QualityHomeProfile!E38*C12</f>
        <v>3657.3945019999992</v>
      </c>
      <c r="E37" s="837"/>
      <c r="F37" s="931" t="s">
        <v>86</v>
      </c>
      <c r="G37" s="932"/>
      <c r="H37" s="932"/>
      <c r="I37" s="932"/>
      <c r="J37" s="933"/>
      <c r="K37" s="455"/>
      <c r="L37" s="455"/>
      <c r="M37" s="896"/>
      <c r="N37" s="896"/>
      <c r="O37" s="896"/>
      <c r="P37" s="896"/>
      <c r="Q37" s="896"/>
      <c r="R37" s="896"/>
    </row>
    <row r="38" spans="1:21" customFormat="1" ht="15" customHeight="1">
      <c r="A38" s="660"/>
      <c r="B38" s="42" t="s">
        <v>87</v>
      </c>
      <c r="C38" s="723">
        <f t="shared" ref="C38:C42" si="0">IF($C$35="Default Values",D38,E38)</f>
        <v>3368.9352678571422</v>
      </c>
      <c r="D38" s="564">
        <f>QualityHomeProfile!E40*C12</f>
        <v>3368.9352678571422</v>
      </c>
      <c r="E38" s="838"/>
      <c r="F38" s="931" t="s">
        <v>88</v>
      </c>
      <c r="G38" s="932"/>
      <c r="H38" s="932"/>
      <c r="I38" s="932"/>
      <c r="J38" s="933"/>
      <c r="K38" s="455"/>
      <c r="L38" s="455"/>
      <c r="M38" s="896"/>
      <c r="N38" s="896"/>
      <c r="O38" s="896"/>
      <c r="P38" s="896"/>
      <c r="Q38" s="896"/>
      <c r="R38" s="896"/>
    </row>
    <row r="39" spans="1:21" customFormat="1" ht="15" customHeight="1">
      <c r="A39" s="660"/>
      <c r="B39" s="42" t="s">
        <v>89</v>
      </c>
      <c r="C39" s="723">
        <f t="shared" si="0"/>
        <v>5934.3203050000002</v>
      </c>
      <c r="D39" s="564">
        <f>QualityHomeProfile!E39*C12</f>
        <v>5934.3203050000002</v>
      </c>
      <c r="E39" s="838"/>
      <c r="F39" s="931" t="s">
        <v>90</v>
      </c>
      <c r="G39" s="932"/>
      <c r="H39" s="932"/>
      <c r="I39" s="932"/>
      <c r="J39" s="933"/>
      <c r="K39" s="455"/>
      <c r="L39" s="455"/>
      <c r="M39" s="896"/>
      <c r="N39" s="896"/>
      <c r="O39" s="896"/>
      <c r="P39" s="896"/>
      <c r="Q39" s="896"/>
      <c r="R39" s="896"/>
    </row>
    <row r="40" spans="1:21" customFormat="1" ht="15" customHeight="1">
      <c r="A40" s="660"/>
      <c r="B40" s="42" t="s">
        <v>91</v>
      </c>
      <c r="C40" s="723">
        <f t="shared" si="0"/>
        <v>0</v>
      </c>
      <c r="D40" s="564">
        <f>QualityHomeProfile!D41</f>
        <v>0</v>
      </c>
      <c r="E40" s="838"/>
      <c r="F40" s="591"/>
      <c r="G40" s="591"/>
      <c r="H40" s="591"/>
      <c r="I40" s="591"/>
      <c r="J40" s="901"/>
      <c r="K40" s="902"/>
      <c r="L40" s="900"/>
      <c r="M40" s="78"/>
      <c r="N40" s="78"/>
      <c r="O40" s="78"/>
      <c r="P40" s="78"/>
      <c r="Q40" s="78"/>
      <c r="R40" s="78"/>
    </row>
    <row r="41" spans="1:21" customFormat="1" ht="15" customHeight="1">
      <c r="A41" s="660"/>
      <c r="B41" s="42" t="s">
        <v>92</v>
      </c>
      <c r="C41" s="723">
        <f t="shared" si="0"/>
        <v>0</v>
      </c>
      <c r="D41" s="564">
        <f>QualityHomeProfile!D42</f>
        <v>0</v>
      </c>
      <c r="E41" s="838"/>
      <c r="F41" s="591"/>
      <c r="G41" s="591"/>
      <c r="H41" s="591"/>
      <c r="I41" s="591"/>
      <c r="J41" s="684"/>
      <c r="K41" s="347"/>
      <c r="L41" s="246"/>
    </row>
    <row r="42" spans="1:21" customFormat="1" ht="15" customHeight="1" thickBot="1">
      <c r="A42" s="660"/>
      <c r="B42" s="619" t="s">
        <v>93</v>
      </c>
      <c r="C42" s="724">
        <f t="shared" si="0"/>
        <v>0</v>
      </c>
      <c r="D42" s="565">
        <f>QualityHomeProfile!D43</f>
        <v>0</v>
      </c>
      <c r="E42" s="839"/>
      <c r="F42" s="591"/>
      <c r="G42" s="591"/>
      <c r="H42" s="591"/>
      <c r="I42" s="591"/>
      <c r="J42" s="684"/>
      <c r="K42" s="347"/>
      <c r="L42" s="246"/>
    </row>
    <row r="43" spans="1:21" customFormat="1" ht="15" customHeight="1">
      <c r="A43" s="660"/>
      <c r="B43" s="591"/>
      <c r="C43" s="688"/>
      <c r="D43" s="746"/>
      <c r="E43" s="591"/>
      <c r="F43" s="591"/>
      <c r="G43" s="591"/>
      <c r="H43" s="591"/>
      <c r="I43" s="591"/>
      <c r="J43" s="669"/>
    </row>
    <row r="44" spans="1:21" s="518" customFormat="1" ht="15" customHeight="1">
      <c r="A44" s="794"/>
      <c r="B44" s="736" t="s">
        <v>94</v>
      </c>
      <c r="C44" s="750"/>
      <c r="D44" s="751"/>
      <c r="E44" s="752"/>
      <c r="F44" s="753"/>
      <c r="G44" s="753"/>
      <c r="H44" s="753"/>
      <c r="I44" s="753"/>
      <c r="J44" s="795"/>
      <c r="K44" s="754"/>
      <c r="L44" s="755"/>
    </row>
    <row r="45" spans="1:21" customFormat="1" ht="15" customHeight="1">
      <c r="A45" s="660"/>
      <c r="B45" s="685" t="s">
        <v>95</v>
      </c>
      <c r="E45" s="662"/>
      <c r="G45" s="591"/>
      <c r="H45" s="591"/>
      <c r="I45" s="591"/>
      <c r="J45" s="684"/>
      <c r="K45" s="246"/>
    </row>
    <row r="46" spans="1:21" customFormat="1" ht="15" customHeight="1">
      <c r="A46" s="660"/>
      <c r="B46" s="515"/>
      <c r="C46" s="516" t="s">
        <v>96</v>
      </c>
      <c r="D46" s="517" t="s">
        <v>97</v>
      </c>
      <c r="E46" s="637"/>
      <c r="F46" s="2" t="s">
        <v>98</v>
      </c>
      <c r="G46" s="591"/>
      <c r="H46" s="591"/>
      <c r="I46" s="591"/>
      <c r="J46" s="669"/>
    </row>
    <row r="47" spans="1:21" customFormat="1" ht="15" customHeight="1">
      <c r="A47" s="660"/>
      <c r="B47" s="742" t="str">
        <f>B8</f>
        <v>Infant &amp; Toddler (0-23 mos.)</v>
      </c>
      <c r="C47" s="840">
        <v>0</v>
      </c>
      <c r="D47" s="224">
        <f>C8-C47</f>
        <v>1</v>
      </c>
      <c r="E47" s="916" t="s">
        <v>99</v>
      </c>
      <c r="F47" s="841">
        <v>1200</v>
      </c>
      <c r="G47" s="591"/>
      <c r="H47" s="591"/>
      <c r="I47" s="591"/>
      <c r="J47" s="669"/>
    </row>
    <row r="48" spans="1:21" customFormat="1" ht="15" customHeight="1">
      <c r="A48" s="660"/>
      <c r="B48" s="743" t="str">
        <f>B9</f>
        <v>2-3 year old</v>
      </c>
      <c r="C48" s="840">
        <v>0</v>
      </c>
      <c r="D48" s="224">
        <f>C9-C48</f>
        <v>1</v>
      </c>
      <c r="E48" s="916"/>
      <c r="F48" s="841">
        <v>1100</v>
      </c>
      <c r="G48" s="591"/>
      <c r="H48" s="591"/>
      <c r="I48" s="591"/>
      <c r="J48" s="669"/>
    </row>
    <row r="49" spans="1:16" customFormat="1" ht="15" customHeight="1">
      <c r="A49" s="660"/>
      <c r="B49" s="743" t="str">
        <f>B10</f>
        <v>3-5 year old</v>
      </c>
      <c r="C49" s="840">
        <v>0</v>
      </c>
      <c r="D49" s="224">
        <f>C10-C49</f>
        <v>2</v>
      </c>
      <c r="E49" s="916"/>
      <c r="F49" s="841">
        <v>1000</v>
      </c>
      <c r="G49" s="591"/>
      <c r="H49" s="591"/>
      <c r="I49" s="591"/>
      <c r="J49" s="669"/>
    </row>
    <row r="50" spans="1:16" customFormat="1" ht="15" customHeight="1">
      <c r="A50" s="660"/>
      <c r="B50" s="743" t="str">
        <f>B11</f>
        <v>School age</v>
      </c>
      <c r="C50" s="840">
        <v>0</v>
      </c>
      <c r="D50" s="224">
        <f>C11-C50</f>
        <v>2</v>
      </c>
      <c r="E50" s="916"/>
      <c r="F50" s="841">
        <v>600</v>
      </c>
      <c r="G50" s="591"/>
      <c r="H50" s="591"/>
      <c r="I50" s="687"/>
      <c r="J50" s="669"/>
    </row>
    <row r="51" spans="1:16" customFormat="1" ht="15" customHeight="1">
      <c r="A51" s="660"/>
      <c r="B51" s="81" t="s">
        <v>100</v>
      </c>
      <c r="C51" s="875">
        <f>SUM(C47:C50)</f>
        <v>0</v>
      </c>
      <c r="D51" s="876">
        <f>C12-C51</f>
        <v>6</v>
      </c>
      <c r="E51" s="591"/>
      <c r="F51" s="625"/>
      <c r="G51" s="591"/>
      <c r="H51" s="591"/>
      <c r="I51" s="591"/>
      <c r="J51" s="669"/>
    </row>
    <row r="52" spans="1:16" customFormat="1" ht="15" customHeight="1">
      <c r="A52" s="660"/>
      <c r="B52" s="887" t="s">
        <v>101</v>
      </c>
      <c r="C52" s="888">
        <f>C51/C12</f>
        <v>0</v>
      </c>
      <c r="D52" s="879"/>
      <c r="E52" s="591"/>
      <c r="F52" s="591"/>
      <c r="G52" s="591"/>
      <c r="H52" s="591"/>
      <c r="I52" s="591"/>
      <c r="J52" s="669"/>
      <c r="L52" s="78"/>
      <c r="M52" s="78"/>
    </row>
    <row r="53" spans="1:16" customFormat="1" ht="15" customHeight="1">
      <c r="A53" s="660"/>
      <c r="B53" s="883" t="str">
        <f>IF(RatioOpt="Licensing/Star 2","Note: Programs must be rated 2 Star to receive child care subsidy revenue", " ")</f>
        <v xml:space="preserve"> </v>
      </c>
      <c r="C53" s="884"/>
      <c r="D53" s="710"/>
      <c r="E53" s="591"/>
      <c r="F53" s="591"/>
      <c r="G53" s="591"/>
      <c r="H53" s="591"/>
      <c r="I53" s="591"/>
      <c r="J53" s="669"/>
      <c r="L53" s="78"/>
      <c r="M53" s="78"/>
    </row>
    <row r="54" spans="1:16" customFormat="1" ht="29" customHeight="1">
      <c r="A54" s="660"/>
      <c r="B54" s="190" t="s">
        <v>250</v>
      </c>
      <c r="C54" s="895" t="s">
        <v>65</v>
      </c>
      <c r="D54" s="662" t="s">
        <v>104</v>
      </c>
      <c r="E54" s="591"/>
      <c r="F54" s="591"/>
      <c r="G54" s="591"/>
      <c r="H54" s="591"/>
      <c r="I54" s="591"/>
      <c r="J54" s="669"/>
      <c r="K54" s="78"/>
      <c r="L54" s="78"/>
      <c r="M54" s="78"/>
    </row>
    <row r="55" spans="1:16" customFormat="1" ht="28" customHeight="1">
      <c r="A55" s="660"/>
      <c r="B55" s="190" t="s">
        <v>105</v>
      </c>
      <c r="C55" s="895" t="s">
        <v>65</v>
      </c>
      <c r="D55" s="880" t="s">
        <v>106</v>
      </c>
      <c r="E55" s="591"/>
      <c r="F55" s="591"/>
      <c r="G55" s="591"/>
      <c r="H55" s="591"/>
      <c r="I55" s="591"/>
      <c r="J55" s="669"/>
      <c r="L55" s="78" t="s">
        <v>103</v>
      </c>
      <c r="M55" s="78" t="s">
        <v>65</v>
      </c>
    </row>
    <row r="56" spans="1:16" customFormat="1" ht="28">
      <c r="A56" s="660"/>
      <c r="B56" s="894" t="s">
        <v>251</v>
      </c>
      <c r="C56" s="882">
        <v>500</v>
      </c>
      <c r="D56" s="626"/>
      <c r="E56" s="591"/>
      <c r="F56" s="591"/>
      <c r="G56" s="591"/>
      <c r="H56" s="591"/>
      <c r="I56" s="591"/>
      <c r="J56" s="669"/>
      <c r="L56" s="78"/>
      <c r="M56" s="78"/>
    </row>
    <row r="57" spans="1:16" customFormat="1" ht="15" customHeight="1">
      <c r="A57" s="660"/>
      <c r="B57" s="885"/>
      <c r="C57" s="886"/>
      <c r="D57" s="626"/>
      <c r="E57" s="591"/>
      <c r="F57" s="591"/>
      <c r="G57" s="591"/>
      <c r="H57" s="591"/>
      <c r="I57" s="591"/>
      <c r="J57" s="669"/>
      <c r="L57" s="78"/>
      <c r="M57" s="78"/>
    </row>
    <row r="58" spans="1:16" s="749" customFormat="1" ht="15" customHeight="1">
      <c r="A58" s="796"/>
      <c r="B58" s="747" t="s">
        <v>108</v>
      </c>
      <c r="C58" s="740"/>
      <c r="D58" s="740"/>
      <c r="E58" s="740"/>
      <c r="F58" s="740"/>
      <c r="G58" s="740"/>
      <c r="H58" s="748"/>
      <c r="I58" s="740"/>
      <c r="J58" s="785"/>
      <c r="L58" s="891"/>
      <c r="M58" s="891"/>
    </row>
    <row r="59" spans="1:16" ht="15" customHeight="1">
      <c r="A59" s="781"/>
      <c r="B59" s="797" t="s">
        <v>109</v>
      </c>
      <c r="C59" s="877">
        <v>0.85</v>
      </c>
      <c r="D59" s="764" t="s">
        <v>110</v>
      </c>
      <c r="E59" s="710"/>
      <c r="F59" s="710"/>
      <c r="G59" s="710"/>
      <c r="H59" s="710"/>
      <c r="I59" s="710"/>
      <c r="J59" s="784"/>
    </row>
    <row r="60" spans="1:16" ht="15" customHeight="1">
      <c r="A60" s="781"/>
      <c r="B60" s="797" t="s">
        <v>111</v>
      </c>
      <c r="C60" s="878">
        <v>0.03</v>
      </c>
      <c r="D60" s="764" t="s">
        <v>112</v>
      </c>
      <c r="E60" s="710"/>
      <c r="F60" s="710"/>
      <c r="G60" s="710"/>
      <c r="H60" s="710"/>
      <c r="I60" s="710"/>
      <c r="J60" s="784"/>
    </row>
    <row r="61" spans="1:16" customFormat="1" ht="14" thickBot="1">
      <c r="A61" s="660"/>
      <c r="B61" s="198"/>
      <c r="C61" s="584"/>
      <c r="D61" s="626"/>
      <c r="E61" s="591"/>
      <c r="F61" s="591"/>
      <c r="G61" s="591"/>
      <c r="H61" s="591"/>
      <c r="I61" s="591"/>
      <c r="J61" s="669"/>
    </row>
    <row r="62" spans="1:16" customFormat="1" ht="19" thickBot="1">
      <c r="A62" s="861"/>
      <c r="B62" s="866" t="s">
        <v>113</v>
      </c>
      <c r="C62" s="862"/>
      <c r="D62" s="863"/>
      <c r="E62" s="864"/>
      <c r="F62" s="864"/>
      <c r="G62" s="864"/>
      <c r="H62" s="864"/>
      <c r="I62" s="864"/>
      <c r="J62" s="865"/>
    </row>
    <row r="63" spans="1:16" ht="14" thickBot="1">
      <c r="A63" s="781"/>
      <c r="D63" s="710"/>
      <c r="E63" s="744"/>
      <c r="F63" s="710"/>
      <c r="G63" s="710"/>
      <c r="H63" s="710"/>
      <c r="I63" s="710"/>
      <c r="J63" s="784"/>
    </row>
    <row r="64" spans="1:16">
      <c r="A64" s="781"/>
      <c r="B64" s="440" t="s">
        <v>252</v>
      </c>
      <c r="C64" s="441"/>
      <c r="D64" s="710"/>
      <c r="E64" s="710"/>
      <c r="F64" s="558" t="s">
        <v>117</v>
      </c>
      <c r="G64" s="290"/>
      <c r="H64" s="559" t="s">
        <v>253</v>
      </c>
      <c r="I64" s="559" t="s">
        <v>254</v>
      </c>
      <c r="J64" s="799" t="s">
        <v>255</v>
      </c>
      <c r="L64" s="126"/>
      <c r="N64" s="125"/>
      <c r="O64" s="125"/>
      <c r="P64" s="125"/>
    </row>
    <row r="65" spans="1:22">
      <c r="A65" s="781"/>
      <c r="B65" s="442"/>
      <c r="C65" s="443"/>
      <c r="D65" s="710"/>
      <c r="E65" s="710"/>
      <c r="F65" s="291"/>
      <c r="G65" s="772" t="str">
        <f>B8</f>
        <v>Infant &amp; Toddler (0-23 mos.)</v>
      </c>
      <c r="H65" s="773">
        <f>QualityHomeProfile!C6</f>
        <v>16909.54852293299</v>
      </c>
      <c r="I65" s="773">
        <f>H65/12</f>
        <v>1409.1290435777491</v>
      </c>
      <c r="J65" s="800">
        <f>H65/52</f>
        <v>325.18362544101905</v>
      </c>
      <c r="K65" s="143"/>
      <c r="L65" s="512"/>
      <c r="N65" s="513"/>
      <c r="O65" s="513"/>
      <c r="P65" s="513"/>
      <c r="Q65" s="143"/>
      <c r="S65" s="143"/>
    </row>
    <row r="66" spans="1:22">
      <c r="A66" s="781"/>
      <c r="B66" s="442" t="s">
        <v>115</v>
      </c>
      <c r="C66" s="454">
        <f>QualityHomeProfile!A19</f>
        <v>1</v>
      </c>
      <c r="D66" s="710"/>
      <c r="E66" s="710"/>
      <c r="F66" s="291"/>
      <c r="G66" s="772" t="str">
        <f>B9</f>
        <v>2-3 year old</v>
      </c>
      <c r="H66" s="773">
        <f>QualityHomeProfile!C7</f>
        <v>16909.54852293299</v>
      </c>
      <c r="I66" s="773">
        <f>H66/12</f>
        <v>1409.1290435777491</v>
      </c>
      <c r="J66" s="800">
        <f>H66/52</f>
        <v>325.18362544101905</v>
      </c>
      <c r="L66" s="512"/>
      <c r="N66" s="513"/>
      <c r="O66" s="513"/>
      <c r="P66" s="513"/>
      <c r="Q66" s="143"/>
      <c r="S66" s="143"/>
    </row>
    <row r="67" spans="1:22" ht="14" thickBot="1">
      <c r="A67" s="781"/>
      <c r="B67" s="442"/>
      <c r="C67" s="443"/>
      <c r="D67" s="710"/>
      <c r="E67" s="710"/>
      <c r="F67" s="291"/>
      <c r="G67" s="772" t="str">
        <f>B10</f>
        <v>3-5 year old</v>
      </c>
      <c r="H67" s="773">
        <f>QualityHomeProfile!C8</f>
        <v>16909.54852293299</v>
      </c>
      <c r="I67" s="773">
        <f>H67/12</f>
        <v>1409.1290435777491</v>
      </c>
      <c r="J67" s="800">
        <f>H67/52</f>
        <v>325.18362544101905</v>
      </c>
      <c r="L67" s="512"/>
      <c r="N67" s="513"/>
      <c r="O67" s="513"/>
      <c r="P67" s="513"/>
      <c r="Q67" s="143"/>
      <c r="S67" s="143"/>
    </row>
    <row r="68" spans="1:22" ht="14" thickBot="1">
      <c r="A68" s="781"/>
      <c r="B68" s="448" t="s">
        <v>120</v>
      </c>
      <c r="C68" s="481"/>
      <c r="D68" s="553" t="s">
        <v>140</v>
      </c>
      <c r="E68" s="774"/>
      <c r="F68" s="292"/>
      <c r="G68" s="293" t="str">
        <f>B11</f>
        <v>School age</v>
      </c>
      <c r="H68" s="289">
        <f>QualityHomeProfile!C9</f>
        <v>8454.7742614664949</v>
      </c>
      <c r="I68" s="294">
        <f>H68/12</f>
        <v>704.56452178887457</v>
      </c>
      <c r="J68" s="801">
        <f>H68/52</f>
        <v>162.59181272050952</v>
      </c>
      <c r="L68" s="512"/>
      <c r="N68" s="513"/>
      <c r="O68" s="513"/>
      <c r="P68" s="513"/>
      <c r="Q68" s="143"/>
      <c r="S68" s="143"/>
    </row>
    <row r="69" spans="1:22" ht="14" thickBot="1">
      <c r="A69" s="781"/>
      <c r="B69" s="445" t="s">
        <v>122</v>
      </c>
      <c r="C69" s="446">
        <f>QualityHomeProfile!C19</f>
        <v>53162.968277945612</v>
      </c>
      <c r="D69" s="550">
        <f>C69/C$84</f>
        <v>0.6287922850908193</v>
      </c>
      <c r="E69" s="745"/>
      <c r="F69" s="710"/>
      <c r="G69" s="710"/>
      <c r="H69" s="710"/>
      <c r="I69" s="710"/>
      <c r="J69" s="784"/>
      <c r="Q69" s="143"/>
      <c r="R69" s="143"/>
    </row>
    <row r="70" spans="1:22">
      <c r="A70" s="781"/>
      <c r="B70" s="445" t="s">
        <v>123</v>
      </c>
      <c r="C70" s="446">
        <f>QualityHomeProfile!C32+QualityHomeProfile!C26</f>
        <v>14398.041280211481</v>
      </c>
      <c r="D70" s="550">
        <f t="shared" ref="D70:D82" si="1">C70/C$84</f>
        <v>0.17029480427209082</v>
      </c>
      <c r="E70" s="745"/>
      <c r="F70" s="557" t="s">
        <v>125</v>
      </c>
      <c r="G70" s="554"/>
      <c r="H70" s="299" t="s">
        <v>41</v>
      </c>
      <c r="I70" s="299" t="s">
        <v>126</v>
      </c>
      <c r="J70" s="802" t="s">
        <v>119</v>
      </c>
    </row>
    <row r="71" spans="1:22">
      <c r="A71" s="781"/>
      <c r="B71" s="448" t="s">
        <v>124</v>
      </c>
      <c r="C71" s="449">
        <f>SUM(C69:C70)</f>
        <v>67561.009558157093</v>
      </c>
      <c r="D71" s="551">
        <f t="shared" si="1"/>
        <v>0.79908708936291006</v>
      </c>
      <c r="E71" s="745"/>
      <c r="F71" s="94"/>
      <c r="G71" s="775" t="str">
        <f>G65</f>
        <v>Infant &amp; Toddler (0-23 mos.)</v>
      </c>
      <c r="H71" s="776">
        <f>I71*12</f>
        <v>11700</v>
      </c>
      <c r="I71" s="776">
        <f>IF(C$54="Yes",L71*115%,L71)</f>
        <v>975</v>
      </c>
      <c r="J71" s="803">
        <f>H71/52</f>
        <v>225</v>
      </c>
      <c r="K71"/>
      <c r="L71" s="902">
        <f>IF(AND(D$12="Group Home",E$2=G$2),'Subsidy rates'!B22,
IF(AND(D$12="Group Home",E$2=H$2),'Subsidy rates'!B22,
IF(AND(D$12="Group Home",E$2=I$2),'Subsidy rates'!C22,
IF(AND(D$12="Group Home",E$2=J$2),'Subsidy rates'!D22,
IF(AND(D$12="Group Home",E$2=K$2),'Subsidy rates'!E22,
IF(AND(D$12="Group Home",E$2=L$2),'Subsidy rates'!F22,
IF(E$2=G$2,'Subsidy rates'!B12,
IF(E$2=H$2,'Subsidy rates'!B12,
IF(E$2=I$2,'Subsidy rates'!C12,
IF(E$2=J$2,'Subsidy rates'!D12,
IF(E$2=K$2,'Subsidy rates'!E12,
IF(E$2=L$2,'Subsidy rates'!F12,0))))))))))))</f>
        <v>975</v>
      </c>
      <c r="M71" s="10"/>
      <c r="N71" s="10"/>
      <c r="O71" s="10"/>
      <c r="P71"/>
      <c r="Q71"/>
      <c r="R71"/>
      <c r="S71"/>
      <c r="T71"/>
      <c r="U71"/>
      <c r="V71"/>
    </row>
    <row r="72" spans="1:22" customFormat="1">
      <c r="A72" s="660"/>
      <c r="B72" s="445"/>
      <c r="C72" s="447"/>
      <c r="D72" s="550"/>
      <c r="E72" s="745"/>
      <c r="F72" s="94"/>
      <c r="G72" s="775" t="str">
        <f t="shared" ref="G72:G74" si="2">G66</f>
        <v>2-3 year old</v>
      </c>
      <c r="H72" s="776">
        <f t="shared" ref="H72:H73" si="3">I72*12</f>
        <v>11700</v>
      </c>
      <c r="I72" s="776">
        <f t="shared" ref="I72:I74" si="4">IF(C$54="Yes",L72*115%,L72)</f>
        <v>975</v>
      </c>
      <c r="J72" s="803">
        <f t="shared" ref="J72:J73" si="5">H72/52</f>
        <v>225</v>
      </c>
      <c r="L72" s="902">
        <f>IF(AND(D$12="Group Home",E$2=G$2),'Subsidy rates'!B24,
IF(AND(D$12="Group Home",E$2=H$2),'Subsidy rates'!B24,
IF(AND(D$12="Group Home",E$2=I$2),'Subsidy rates'!C24,
IF(AND(D$12="Group Home",E$2=J$2),'Subsidy rates'!D24,
IF(AND(D$12="Group Home",E$2=K$2),'Subsidy rates'!E24,
IF(AND(D$12="Group Home",E$2=L$2),'Subsidy rates'!F24,
IF(E$2=G$2,'Subsidy rates'!B14,
IF(E$2=H$2,'Subsidy rates'!B14,
IF(E$2=I$2,'Subsidy rates'!C14,
IF(E$2=J$2,'Subsidy rates'!D14,
IF(E$2=K$2,'Subsidy rates'!E14,
IF(E$2=L$2,'Subsidy rates'!F14,0))))))))))))</f>
        <v>975</v>
      </c>
      <c r="M72" s="10"/>
      <c r="N72" s="10"/>
      <c r="O72" s="10"/>
    </row>
    <row r="73" spans="1:22" customFormat="1">
      <c r="A73" s="660"/>
      <c r="B73" s="445" t="str">
        <f>'Quality Center Profile'!B51</f>
        <v>Education Program for Children and Staff</v>
      </c>
      <c r="C73" s="447">
        <f>QualityHomeProfile!D39</f>
        <v>5934.3203050000002</v>
      </c>
      <c r="D73" s="550">
        <f t="shared" si="1"/>
        <v>7.0188985790505087E-2</v>
      </c>
      <c r="E73" s="745"/>
      <c r="F73" s="94"/>
      <c r="G73" s="775" t="str">
        <f t="shared" si="2"/>
        <v>3-5 year old</v>
      </c>
      <c r="H73" s="776">
        <f t="shared" si="3"/>
        <v>10400</v>
      </c>
      <c r="I73" s="776">
        <f t="shared" si="4"/>
        <v>866.66666666666663</v>
      </c>
      <c r="J73" s="803">
        <f t="shared" si="5"/>
        <v>200</v>
      </c>
      <c r="L73" s="902">
        <f>IF(AND(D$12="Group Home",E$2=G$2),'Subsidy rates'!B25,
IF(AND(D$12="Group Home",E$2=H$2),'Subsidy rates'!B25,
IF(AND(D$12="Group Home",E$2=I$2),'Subsidy rates'!C25,
IF(AND(D$12="Group Home",E$2=J$2),'Subsidy rates'!D25,
IF(AND(D$12="Group Home",E$2=K$2),'Subsidy rates'!E25,
IF(AND(D$12="Group Home",E$2=L$2),'Subsidy rates'!F25,
IF(E$2=G$2,'Subsidy rates'!B15,
IF(E$2=H$2,'Subsidy rates'!B15,
IF(E$2=I$2,'Subsidy rates'!C15,
IF(E$2=J$2,'Subsidy rates'!D15,
IF(E$2=K$2,'Subsidy rates'!E15,
IF(E$2=L$2,'Subsidy rates'!F15,0))))))))))))</f>
        <v>866.66666666666663</v>
      </c>
      <c r="M73" s="10"/>
      <c r="N73" s="10"/>
      <c r="O73" s="10"/>
    </row>
    <row r="74" spans="1:22" customFormat="1" ht="14" thickBot="1">
      <c r="A74" s="660"/>
      <c r="B74" s="445" t="str">
        <f>'Quality Center Profile'!B52</f>
        <v>Occupancy</v>
      </c>
      <c r="C74" s="447">
        <f>QualityHomeProfile!D40</f>
        <v>3368.9352678571422</v>
      </c>
      <c r="D74" s="550">
        <f t="shared" si="1"/>
        <v>3.9846543073437359E-2</v>
      </c>
      <c r="E74" s="745"/>
      <c r="F74" s="95"/>
      <c r="G74" s="197" t="str">
        <f t="shared" si="2"/>
        <v>School age</v>
      </c>
      <c r="H74" s="96">
        <f>I74*12</f>
        <v>10400</v>
      </c>
      <c r="I74" s="96">
        <f t="shared" si="4"/>
        <v>866.66666666666663</v>
      </c>
      <c r="J74" s="804">
        <f>H74/52</f>
        <v>200</v>
      </c>
      <c r="L74" s="902">
        <f>IF(AND(D$12="Group Home",E$2=G$2),'Subsidy rates'!B27,
IF(AND(D$12="Group Home",E$2=H$2),'Subsidy rates'!B27,
IF(AND(D$12="Group Home",E$2=I$2),'Subsidy rates'!C27,
IF(AND(D$12="Group Home",E$2=J$2),'Subsidy rates'!D27,
IF(AND(D$12="Group Home",E$2=K$2),'Subsidy rates'!E27,
IF(AND(D$12="Group Home",E$2=L$2),'Subsidy rates'!F27,
IF(E$2=G$2,'Subsidy rates'!B17,
IF(E$2=H$2,'Subsidy rates'!B17,
IF(E$2=I$2,'Subsidy rates'!C17,
IF(E$2=J$2,'Subsidy rates'!D17,
IF(E$2=K$2,'Subsidy rates'!E17,
IF(E$2=L$2,'Subsidy rates'!F17,0))))))))))))</f>
        <v>866.66666666666663</v>
      </c>
      <c r="M74" s="10"/>
      <c r="N74" s="10"/>
      <c r="O74" s="10"/>
    </row>
    <row r="75" spans="1:22" customFormat="1" ht="14" thickBot="1">
      <c r="A75" s="660"/>
      <c r="B75" s="445" t="str">
        <f>'Quality Center Profile'!B53</f>
        <v>Program Management &amp; Administration</v>
      </c>
      <c r="C75" s="447">
        <f>QualityHomeProfile!D38</f>
        <v>3657.3945019999992</v>
      </c>
      <c r="D75" s="550">
        <f t="shared" si="1"/>
        <v>4.3258334154099791E-2</v>
      </c>
      <c r="E75" s="745"/>
      <c r="F75" s="591"/>
      <c r="G75" s="710"/>
      <c r="H75" s="709"/>
      <c r="I75" s="709"/>
      <c r="J75" s="684"/>
      <c r="M75" s="10"/>
      <c r="N75" s="10"/>
      <c r="O75" s="10"/>
    </row>
    <row r="76" spans="1:22" customFormat="1">
      <c r="A76" s="660"/>
      <c r="B76" s="445" t="s">
        <v>127</v>
      </c>
      <c r="C76" s="447">
        <f>QualityHomeProfile!D41</f>
        <v>0</v>
      </c>
      <c r="D76" s="550">
        <f t="shared" si="1"/>
        <v>0</v>
      </c>
      <c r="E76" s="745"/>
      <c r="F76" s="556" t="s">
        <v>256</v>
      </c>
      <c r="G76" s="555"/>
      <c r="H76" s="244" t="s">
        <v>41</v>
      </c>
      <c r="I76" s="244" t="s">
        <v>126</v>
      </c>
      <c r="J76" s="694" t="s">
        <v>119</v>
      </c>
      <c r="M76" s="10"/>
      <c r="N76" s="10"/>
      <c r="O76" s="10"/>
    </row>
    <row r="77" spans="1:22" customFormat="1">
      <c r="A77" s="660"/>
      <c r="B77" s="445" t="str">
        <f>'Quality Center Profile'!B55</f>
        <v>Transportation</v>
      </c>
      <c r="C77" s="447">
        <f>QualityHomeProfile!D42</f>
        <v>0</v>
      </c>
      <c r="D77" s="550">
        <f t="shared" si="1"/>
        <v>0</v>
      </c>
      <c r="E77" s="745"/>
      <c r="F77" s="194"/>
      <c r="G77" s="695" t="str">
        <f>G71</f>
        <v>Infant &amp; Toddler (0-23 mos.)</v>
      </c>
      <c r="H77" s="696">
        <f t="shared" ref="H77:J80" si="6">H71-H65</f>
        <v>-5209.5485229329897</v>
      </c>
      <c r="I77" s="696">
        <f>I71-I65</f>
        <v>-434.12904357774914</v>
      </c>
      <c r="J77" s="805">
        <f t="shared" si="6"/>
        <v>-100.18362544101905</v>
      </c>
      <c r="M77" s="10"/>
      <c r="N77" s="10"/>
      <c r="O77" s="10"/>
    </row>
    <row r="78" spans="1:22" customFormat="1">
      <c r="A78" s="660"/>
      <c r="B78" s="445" t="str">
        <f>'Quality Center Profile'!B56</f>
        <v>Additional Cleaning</v>
      </c>
      <c r="C78" s="447">
        <f>QualityHomeProfile!D43</f>
        <v>0</v>
      </c>
      <c r="D78" s="550">
        <f t="shared" si="1"/>
        <v>0</v>
      </c>
      <c r="E78" s="745"/>
      <c r="F78" s="194"/>
      <c r="G78" s="695" t="str">
        <f t="shared" ref="G78:G80" si="7">G72</f>
        <v>2-3 year old</v>
      </c>
      <c r="H78" s="696">
        <f t="shared" si="6"/>
        <v>-5209.5485229329897</v>
      </c>
      <c r="I78" s="696">
        <f>I72-I66</f>
        <v>-434.12904357774914</v>
      </c>
      <c r="J78" s="805">
        <f t="shared" si="6"/>
        <v>-100.18362544101905</v>
      </c>
    </row>
    <row r="79" spans="1:22" customFormat="1">
      <c r="A79" s="660"/>
      <c r="B79" s="468" t="s">
        <v>257</v>
      </c>
      <c r="C79" s="472">
        <f>QualityHomeProfile!D45</f>
        <v>0</v>
      </c>
      <c r="D79" s="550">
        <f t="shared" si="1"/>
        <v>0</v>
      </c>
      <c r="E79" s="745"/>
      <c r="F79" s="194"/>
      <c r="G79" s="695" t="str">
        <f t="shared" si="7"/>
        <v>3-5 year old</v>
      </c>
      <c r="H79" s="696">
        <f t="shared" si="6"/>
        <v>-6509.5485229329897</v>
      </c>
      <c r="I79" s="696">
        <f>I73-I67</f>
        <v>-542.46237691108252</v>
      </c>
      <c r="J79" s="805">
        <f t="shared" si="6"/>
        <v>-125.18362544101905</v>
      </c>
      <c r="L79" s="32"/>
    </row>
    <row r="80" spans="1:22" customFormat="1" ht="14" thickBot="1">
      <c r="A80" s="660"/>
      <c r="B80" s="448" t="s">
        <v>129</v>
      </c>
      <c r="C80" s="449">
        <f>SUM(C73:C79)</f>
        <v>12960.650074857142</v>
      </c>
      <c r="D80" s="551">
        <f t="shared" si="1"/>
        <v>0.15329386301804224</v>
      </c>
      <c r="E80" s="745"/>
      <c r="F80" s="195"/>
      <c r="G80" s="243" t="str">
        <f t="shared" si="7"/>
        <v>School age</v>
      </c>
      <c r="H80" s="196">
        <f t="shared" si="6"/>
        <v>1945.2257385335051</v>
      </c>
      <c r="I80" s="196">
        <f>I74-I68</f>
        <v>162.10214487779206</v>
      </c>
      <c r="J80" s="806">
        <f t="shared" si="6"/>
        <v>37.408187279490477</v>
      </c>
    </row>
    <row r="81" spans="1:21" customFormat="1">
      <c r="A81" s="660"/>
      <c r="B81" s="473"/>
      <c r="C81" s="474"/>
      <c r="D81" s="550"/>
      <c r="E81" s="745"/>
      <c r="F81" s="591"/>
      <c r="G81" s="591"/>
      <c r="H81" s="591"/>
      <c r="I81" s="591"/>
      <c r="J81" s="669"/>
    </row>
    <row r="82" spans="1:21" customFormat="1" ht="14" thickBot="1">
      <c r="A82" s="660"/>
      <c r="B82" s="444" t="str">
        <f>'Quality Center Profile'!B59</f>
        <v>Contribution to operating reserve</v>
      </c>
      <c r="C82" s="475">
        <f>QualityHomeProfile!D47</f>
        <v>4026.0829816507121</v>
      </c>
      <c r="D82" s="552">
        <f t="shared" si="1"/>
        <v>4.7619047619047623E-2</v>
      </c>
      <c r="E82" s="745"/>
      <c r="F82" s="710"/>
      <c r="G82" s="710"/>
      <c r="H82" s="710"/>
      <c r="I82" s="710"/>
      <c r="J82" s="669"/>
    </row>
    <row r="83" spans="1:21" customFormat="1" ht="14" thickBot="1">
      <c r="A83" s="660"/>
      <c r="B83" s="478"/>
      <c r="C83" s="479"/>
      <c r="D83" s="591"/>
      <c r="E83" s="710"/>
      <c r="F83" s="710"/>
      <c r="G83" s="710"/>
      <c r="H83" s="710"/>
      <c r="I83" s="591"/>
      <c r="J83" s="669"/>
    </row>
    <row r="84" spans="1:21" customFormat="1" ht="14" thickTop="1">
      <c r="A84" s="660"/>
      <c r="B84" s="476" t="s">
        <v>130</v>
      </c>
      <c r="C84" s="480">
        <f>SUM(C71,C80,C82)</f>
        <v>84547.742614664952</v>
      </c>
      <c r="D84" s="591"/>
      <c r="E84" s="710"/>
      <c r="F84" s="710"/>
      <c r="G84" s="710"/>
      <c r="H84" s="710"/>
      <c r="I84" s="591"/>
      <c r="J84" s="669"/>
    </row>
    <row r="85" spans="1:21" customFormat="1">
      <c r="A85" s="660"/>
      <c r="B85" s="442"/>
      <c r="C85" s="443"/>
      <c r="D85" s="591"/>
      <c r="E85" s="710"/>
      <c r="F85" s="710"/>
      <c r="G85" s="710"/>
      <c r="H85" s="710"/>
      <c r="I85" s="710"/>
      <c r="J85" s="784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</row>
    <row r="86" spans="1:21">
      <c r="A86" s="781"/>
      <c r="B86" s="444" t="s">
        <v>131</v>
      </c>
      <c r="C86" s="443"/>
      <c r="D86" s="710"/>
      <c r="E86" s="710"/>
      <c r="F86" s="710"/>
      <c r="G86" s="710"/>
      <c r="H86" s="710"/>
      <c r="I86" s="710"/>
      <c r="J86" s="784"/>
    </row>
    <row r="87" spans="1:21">
      <c r="A87" s="781"/>
      <c r="B87" s="442" t="s">
        <v>132</v>
      </c>
      <c r="C87" s="446">
        <f>QualityHomeProfile!D54</f>
        <v>0</v>
      </c>
      <c r="D87" s="710"/>
      <c r="E87" s="710"/>
      <c r="F87" s="710"/>
      <c r="G87" s="710"/>
      <c r="H87" s="710"/>
      <c r="I87" s="710"/>
      <c r="J87" s="784"/>
    </row>
    <row r="88" spans="1:21">
      <c r="A88" s="781"/>
      <c r="B88" s="442" t="s">
        <v>133</v>
      </c>
      <c r="C88" s="446">
        <f>QualityHomeProfile!D55</f>
        <v>66000</v>
      </c>
      <c r="D88" s="710"/>
      <c r="E88" s="710"/>
      <c r="F88" s="710"/>
      <c r="G88" s="710"/>
      <c r="H88" s="710"/>
      <c r="I88" s="710"/>
      <c r="J88" s="784"/>
    </row>
    <row r="89" spans="1:21">
      <c r="A89" s="781"/>
      <c r="B89" s="442" t="s">
        <v>134</v>
      </c>
      <c r="C89" s="446">
        <f>QualityHomeProfile!D56</f>
        <v>0</v>
      </c>
      <c r="D89" s="710"/>
      <c r="E89" s="710"/>
      <c r="F89" s="710"/>
      <c r="G89" s="710"/>
      <c r="H89" s="710"/>
      <c r="I89" s="710"/>
      <c r="J89" s="784"/>
    </row>
    <row r="90" spans="1:21">
      <c r="A90" s="781"/>
      <c r="B90" s="442" t="str">
        <f>'Quality Center Profile'!B68</f>
        <v>STARS incentives</v>
      </c>
      <c r="C90" s="446">
        <f>QualityHomeProfile!D57</f>
        <v>0</v>
      </c>
      <c r="D90" s="710"/>
      <c r="E90" s="710"/>
      <c r="F90" s="710"/>
      <c r="G90" s="710"/>
      <c r="H90" s="710"/>
      <c r="I90" s="710"/>
      <c r="J90" s="784"/>
    </row>
    <row r="91" spans="1:21" ht="14" thickBot="1">
      <c r="A91" s="781"/>
      <c r="B91" s="478" t="s">
        <v>135</v>
      </c>
      <c r="C91" s="479">
        <f>QualityHomeProfile!D58</f>
        <v>500</v>
      </c>
      <c r="D91" s="710"/>
      <c r="E91" s="710"/>
      <c r="F91" s="710"/>
      <c r="G91" s="710"/>
      <c r="H91" s="710"/>
      <c r="I91" s="710"/>
      <c r="J91" s="784"/>
    </row>
    <row r="92" spans="1:21" ht="14" thickTop="1">
      <c r="A92" s="781"/>
      <c r="B92" s="476" t="s">
        <v>136</v>
      </c>
      <c r="C92" s="477">
        <f>SUM(C87:C91)</f>
        <v>66500</v>
      </c>
      <c r="D92" s="710"/>
      <c r="E92" s="710"/>
      <c r="F92" s="710"/>
      <c r="G92" s="710"/>
      <c r="H92" s="710"/>
      <c r="I92" s="710"/>
      <c r="J92" s="784"/>
    </row>
    <row r="93" spans="1:21" ht="28">
      <c r="A93" s="781"/>
      <c r="B93" s="450" t="s">
        <v>137</v>
      </c>
      <c r="C93" s="451">
        <f>SUM(QualityHomeProfile!D63:D64)</f>
        <v>11970.000000000002</v>
      </c>
      <c r="D93" s="710"/>
      <c r="E93" s="710"/>
      <c r="F93" s="710"/>
      <c r="G93" s="710"/>
      <c r="H93" s="710"/>
      <c r="I93" s="710"/>
      <c r="J93" s="784"/>
    </row>
    <row r="94" spans="1:21" ht="28">
      <c r="A94" s="781"/>
      <c r="B94" s="482" t="s">
        <v>139</v>
      </c>
      <c r="C94" s="483">
        <f>QualityHomeProfile!D67</f>
        <v>-30017.742614664952</v>
      </c>
      <c r="D94" s="710"/>
      <c r="E94" s="710"/>
      <c r="F94" s="710"/>
      <c r="G94" s="710"/>
      <c r="H94" s="710"/>
      <c r="I94" s="710"/>
      <c r="J94" s="784"/>
    </row>
    <row r="95" spans="1:21" ht="14" thickBot="1">
      <c r="A95" s="781"/>
      <c r="B95" s="452" t="s">
        <v>140</v>
      </c>
      <c r="C95" s="453">
        <f>QualityHomeProfile!E67</f>
        <v>-0.35503896007577523</v>
      </c>
      <c r="D95" s="710"/>
      <c r="E95" s="710"/>
      <c r="F95" s="710"/>
      <c r="G95" s="710"/>
      <c r="H95" s="710"/>
      <c r="I95" s="710"/>
      <c r="J95" s="784"/>
    </row>
    <row r="96" spans="1:21">
      <c r="A96" s="781"/>
      <c r="B96" s="710"/>
      <c r="C96" s="710"/>
      <c r="D96" s="710"/>
      <c r="E96" s="710"/>
      <c r="F96" s="710"/>
      <c r="G96" s="710"/>
      <c r="H96" s="710"/>
      <c r="I96" s="710"/>
      <c r="J96" s="784"/>
    </row>
    <row r="97" spans="1:10" ht="14" thickBot="1">
      <c r="A97" s="807"/>
      <c r="B97" s="945" t="s">
        <v>501</v>
      </c>
      <c r="C97" s="808"/>
      <c r="D97" s="808"/>
      <c r="E97" s="808"/>
      <c r="F97" s="808"/>
      <c r="G97" s="808"/>
      <c r="H97" s="808"/>
      <c r="I97" s="808"/>
      <c r="J97" s="809"/>
    </row>
    <row r="98" spans="1:10" ht="14" thickTop="1">
      <c r="A98" s="116"/>
    </row>
    <row r="99" spans="1:10">
      <c r="A99" s="116"/>
    </row>
    <row r="100" spans="1:10">
      <c r="A100" s="116"/>
    </row>
    <row r="101" spans="1:10">
      <c r="A101" s="116"/>
    </row>
    <row r="102" spans="1:10">
      <c r="A102" s="116"/>
    </row>
    <row r="103" spans="1:10">
      <c r="A103" s="116"/>
    </row>
    <row r="104" spans="1:10">
      <c r="A104" s="116"/>
    </row>
    <row r="105" spans="1:10">
      <c r="A105" s="116"/>
    </row>
    <row r="106" spans="1:10">
      <c r="A106" s="116"/>
    </row>
    <row r="107" spans="1:10">
      <c r="A107" s="116"/>
    </row>
    <row r="108" spans="1:10">
      <c r="A108" s="116"/>
    </row>
    <row r="109" spans="1:10">
      <c r="A109" s="116"/>
    </row>
    <row r="110" spans="1:10">
      <c r="A110" s="116"/>
    </row>
    <row r="111" spans="1:10">
      <c r="A111" s="116"/>
    </row>
    <row r="112" spans="1:10">
      <c r="A112" s="116"/>
    </row>
    <row r="113" spans="1:1">
      <c r="A113" s="116"/>
    </row>
    <row r="114" spans="1:1">
      <c r="A114" s="116"/>
    </row>
    <row r="115" spans="1:1">
      <c r="A115" s="116"/>
    </row>
    <row r="116" spans="1:1">
      <c r="A116" s="116"/>
    </row>
    <row r="117" spans="1:1">
      <c r="A117" s="116"/>
    </row>
    <row r="118" spans="1:1">
      <c r="A118" s="116"/>
    </row>
    <row r="119" spans="1:1">
      <c r="A119" s="116"/>
    </row>
    <row r="120" spans="1:1">
      <c r="A120" s="116"/>
    </row>
    <row r="121" spans="1:1">
      <c r="A121" s="116"/>
    </row>
    <row r="122" spans="1:1">
      <c r="A122" s="116"/>
    </row>
    <row r="123" spans="1:1">
      <c r="A123" s="116"/>
    </row>
    <row r="124" spans="1:1">
      <c r="A124" s="116"/>
    </row>
    <row r="125" spans="1:1">
      <c r="A125" s="116"/>
    </row>
    <row r="126" spans="1:1">
      <c r="A126" s="116"/>
    </row>
    <row r="127" spans="1:1">
      <c r="A127" s="116"/>
    </row>
    <row r="128" spans="1:1">
      <c r="A128" s="116"/>
    </row>
    <row r="129" spans="1:1">
      <c r="A129" s="116"/>
    </row>
    <row r="130" spans="1:1">
      <c r="A130" s="116"/>
    </row>
    <row r="131" spans="1:1">
      <c r="A131" s="116"/>
    </row>
    <row r="132" spans="1:1">
      <c r="A132" s="116"/>
    </row>
    <row r="133" spans="1:1">
      <c r="A133" s="116"/>
    </row>
    <row r="134" spans="1:1">
      <c r="A134" s="116"/>
    </row>
    <row r="135" spans="1:1">
      <c r="A135" s="116"/>
    </row>
    <row r="136" spans="1:1">
      <c r="A136" s="116"/>
    </row>
    <row r="137" spans="1:1">
      <c r="A137" s="116"/>
    </row>
    <row r="138" spans="1:1">
      <c r="A138" s="116"/>
    </row>
    <row r="139" spans="1:1">
      <c r="A139" s="116"/>
    </row>
    <row r="140" spans="1:1">
      <c r="A140" s="116"/>
    </row>
    <row r="141" spans="1:1">
      <c r="A141" s="116"/>
    </row>
    <row r="142" spans="1:1">
      <c r="A142" s="116"/>
    </row>
    <row r="143" spans="1:1">
      <c r="A143" s="116"/>
    </row>
    <row r="144" spans="1:1">
      <c r="A144" s="116"/>
    </row>
    <row r="145" spans="1:1">
      <c r="A145" s="116"/>
    </row>
    <row r="146" spans="1:1">
      <c r="A146" s="116"/>
    </row>
    <row r="147" spans="1:1">
      <c r="A147" s="116"/>
    </row>
    <row r="148" spans="1:1">
      <c r="A148" s="116"/>
    </row>
    <row r="149" spans="1:1">
      <c r="A149" s="116"/>
    </row>
    <row r="150" spans="1:1">
      <c r="A150" s="116"/>
    </row>
    <row r="151" spans="1:1">
      <c r="A151" s="116"/>
    </row>
    <row r="152" spans="1:1">
      <c r="A152" s="116"/>
    </row>
    <row r="153" spans="1:1">
      <c r="A153" s="116"/>
    </row>
    <row r="154" spans="1:1">
      <c r="A154" s="116"/>
    </row>
    <row r="155" spans="1:1">
      <c r="A155" s="116"/>
    </row>
    <row r="156" spans="1:1">
      <c r="A156" s="116"/>
    </row>
    <row r="157" spans="1:1">
      <c r="A157" s="116"/>
    </row>
    <row r="158" spans="1:1">
      <c r="A158" s="116"/>
    </row>
    <row r="159" spans="1:1">
      <c r="A159" s="116"/>
    </row>
    <row r="160" spans="1:1">
      <c r="A160" s="116"/>
    </row>
    <row r="161" spans="1:1">
      <c r="A161" s="116"/>
    </row>
    <row r="162" spans="1:1">
      <c r="A162" s="116"/>
    </row>
    <row r="163" spans="1:1">
      <c r="A163" s="116"/>
    </row>
    <row r="164" spans="1:1">
      <c r="A164" s="116"/>
    </row>
    <row r="165" spans="1:1">
      <c r="A165" s="116"/>
    </row>
    <row r="166" spans="1:1">
      <c r="A166" s="116"/>
    </row>
    <row r="167" spans="1:1">
      <c r="A167" s="116"/>
    </row>
    <row r="168" spans="1:1">
      <c r="A168" s="116"/>
    </row>
    <row r="169" spans="1:1">
      <c r="A169" s="116"/>
    </row>
    <row r="170" spans="1:1">
      <c r="A170" s="116"/>
    </row>
    <row r="171" spans="1:1">
      <c r="A171" s="116"/>
    </row>
    <row r="172" spans="1:1">
      <c r="A172" s="116"/>
    </row>
    <row r="173" spans="1:1">
      <c r="A173" s="116"/>
    </row>
    <row r="174" spans="1:1">
      <c r="A174" s="116"/>
    </row>
    <row r="175" spans="1:1">
      <c r="A175" s="116"/>
    </row>
    <row r="176" spans="1:1">
      <c r="A176" s="116"/>
    </row>
    <row r="177" spans="1:1">
      <c r="A177" s="116"/>
    </row>
    <row r="178" spans="1:1">
      <c r="A178" s="116"/>
    </row>
    <row r="179" spans="1:1">
      <c r="A179" s="116"/>
    </row>
    <row r="180" spans="1:1">
      <c r="A180" s="116"/>
    </row>
    <row r="181" spans="1:1">
      <c r="A181" s="116"/>
    </row>
    <row r="182" spans="1:1">
      <c r="A182" s="116"/>
    </row>
    <row r="183" spans="1:1">
      <c r="A183" s="116"/>
    </row>
    <row r="184" spans="1:1">
      <c r="A184" s="116"/>
    </row>
    <row r="185" spans="1:1">
      <c r="A185" s="116"/>
    </row>
    <row r="186" spans="1:1">
      <c r="A186" s="116"/>
    </row>
    <row r="187" spans="1:1">
      <c r="A187" s="116"/>
    </row>
    <row r="188" spans="1:1">
      <c r="A188" s="116"/>
    </row>
    <row r="189" spans="1:1">
      <c r="A189" s="116"/>
    </row>
    <row r="190" spans="1:1">
      <c r="A190" s="116"/>
    </row>
    <row r="191" spans="1:1">
      <c r="A191" s="116"/>
    </row>
    <row r="192" spans="1:1">
      <c r="A192" s="116"/>
    </row>
    <row r="193" spans="1:1">
      <c r="A193" s="116"/>
    </row>
    <row r="194" spans="1:1">
      <c r="A194" s="116"/>
    </row>
    <row r="195" spans="1:1">
      <c r="A195" s="116"/>
    </row>
    <row r="196" spans="1:1">
      <c r="A196" s="116"/>
    </row>
    <row r="197" spans="1:1">
      <c r="A197" s="116"/>
    </row>
    <row r="198" spans="1:1">
      <c r="A198" s="116"/>
    </row>
    <row r="199" spans="1:1">
      <c r="A199" s="116"/>
    </row>
    <row r="200" spans="1:1">
      <c r="A200" s="116"/>
    </row>
    <row r="201" spans="1:1">
      <c r="A201" s="116"/>
    </row>
    <row r="202" spans="1:1">
      <c r="A202" s="116"/>
    </row>
    <row r="203" spans="1:1">
      <c r="A203" s="116"/>
    </row>
    <row r="204" spans="1:1">
      <c r="A204" s="116"/>
    </row>
    <row r="205" spans="1:1">
      <c r="A205" s="116"/>
    </row>
    <row r="206" spans="1:1">
      <c r="A206" s="116"/>
    </row>
    <row r="207" spans="1:1">
      <c r="A207" s="116"/>
    </row>
    <row r="208" spans="1:1">
      <c r="A208" s="116"/>
    </row>
    <row r="209" spans="1:1">
      <c r="A209" s="116"/>
    </row>
    <row r="210" spans="1:1">
      <c r="A210" s="116"/>
    </row>
    <row r="211" spans="1:1">
      <c r="A211" s="116"/>
    </row>
    <row r="212" spans="1:1">
      <c r="A212" s="116"/>
    </row>
    <row r="213" spans="1:1">
      <c r="A213" s="116"/>
    </row>
    <row r="214" spans="1:1">
      <c r="A214" s="116"/>
    </row>
    <row r="215" spans="1:1">
      <c r="A215" s="116"/>
    </row>
    <row r="216" spans="1:1">
      <c r="A216" s="116"/>
    </row>
    <row r="217" spans="1:1">
      <c r="A217" s="116"/>
    </row>
    <row r="218" spans="1:1">
      <c r="A218" s="116"/>
    </row>
    <row r="219" spans="1:1">
      <c r="A219" s="116"/>
    </row>
    <row r="220" spans="1:1">
      <c r="A220" s="116"/>
    </row>
    <row r="221" spans="1:1">
      <c r="A221" s="116"/>
    </row>
    <row r="222" spans="1:1">
      <c r="A222" s="116"/>
    </row>
    <row r="223" spans="1:1">
      <c r="A223" s="116"/>
    </row>
  </sheetData>
  <sheetProtection algorithmName="SHA-512" hashValue="Ful7ileqaNLEFw9j1DmSyEVBPPFfgh2iB4kpgLBi1xyb+4wOOddRWJCpEo1HyGjhIGmYyThdn5CEv2o3tjzh7w==" saltValue="Xo0EBX8gmA9qXPa+NnqedQ==" spinCount="100000" sheet="1" objects="1" scenarios="1"/>
  <mergeCells count="7">
    <mergeCell ref="B3:C5"/>
    <mergeCell ref="L30:R30"/>
    <mergeCell ref="E47:E50"/>
    <mergeCell ref="F39:J39"/>
    <mergeCell ref="F38:J38"/>
    <mergeCell ref="F37:J37"/>
    <mergeCell ref="E15:E17"/>
  </mergeCells>
  <conditionalFormatting sqref="C94:C95">
    <cfRule type="cellIs" dxfId="2" priority="1" operator="lessThan">
      <formula>0</formula>
    </cfRule>
  </conditionalFormatting>
  <dataValidations count="8">
    <dataValidation allowBlank="1" showInputMessage="1" showErrorMessage="1" promptTitle="Enter number of days " prompt="Enter number of days paid leave offered to staff per year (not including holidays where program is closed)" sqref="D23:D25" xr:uid="{FC7E9E1A-3DEE-1046-A3DE-55850F448199}"/>
    <dataValidation allowBlank="1" showDropDown="1" showInputMessage="1" showErrorMessage="1" sqref="D16" xr:uid="{37D7946A-64BD-514E-BDFC-2F045BA05D67}"/>
    <dataValidation type="whole" allowBlank="1" showInputMessage="1" showErrorMessage="1" errorTitle="Enter a whole number" promptTitle="Enter number of days" prompt="Enter number of days of paid sick leave per year per staff member_x000a_" sqref="D22" xr:uid="{21AC3C1A-B286-814F-9BAC-349D71DC1E45}">
      <formula1>0</formula1>
      <formula2>100</formula2>
    </dataValidation>
    <dataValidation type="list" allowBlank="1" showInputMessage="1" showErrorMessage="1" sqref="E2" xr:uid="{656B74DB-9BD9-914C-AB41-6C97658BA5E0}">
      <formula1>$G$2:$L$2</formula1>
    </dataValidation>
    <dataValidation type="list" allowBlank="1" showInputMessage="1" showErrorMessage="1" sqref="E3" xr:uid="{8890BE5F-FEBB-F141-BB42-214360F87299}">
      <formula1>$I$3:$J$3</formula1>
    </dataValidation>
    <dataValidation type="list" allowBlank="1" showInputMessage="1" showErrorMessage="1" sqref="D20" xr:uid="{88EA5AC0-A86D-004D-BD8B-9BE72EAEB206}">
      <formula1>$J$24:$N$24</formula1>
    </dataValidation>
    <dataValidation type="list" allowBlank="1" showInputMessage="1" showErrorMessage="1" sqref="C35" xr:uid="{24F9ADD8-26B9-4F4B-B0C0-6BB73E74990D}">
      <formula1>$K$34:$L$34</formula1>
    </dataValidation>
    <dataValidation type="list" allowBlank="1" showInputMessage="1" showErrorMessage="1" sqref="C54:C55" xr:uid="{7561F504-E885-1B43-882F-24987A03149B}">
      <formula1>$L$55:$M$55</formula1>
    </dataValidation>
  </dataValidations>
  <pageMargins left="0.25" right="0.25" top="0.25" bottom="0.25" header="0.05" footer="0.05"/>
  <pageSetup scale="75" orientation="landscape" horizontalDpi="4294967293" r:id="rId1"/>
  <headerFooter alignWithMargins="0">
    <oddFooter>&amp;CDRAFT - Not for Distribution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799D5F8-EFF6-1945-A400-487A373F8DF7}">
          <x14:formula1>
            <xm:f>Wages!$B$2:$E$2</xm:f>
          </x14:formula1>
          <xm:sqref>D15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DB270-2FDF-184D-8D08-69BB0386F7F9}">
  <sheetPr codeName="Sheet4">
    <tabColor theme="6" tint="-0.499984740745262"/>
    <pageSetUpPr fitToPage="1"/>
  </sheetPr>
  <dimension ref="A1:V70"/>
  <sheetViews>
    <sheetView workbookViewId="0">
      <selection sqref="A1:F1"/>
    </sheetView>
  </sheetViews>
  <sheetFormatPr baseColWidth="10" defaultColWidth="9.1640625" defaultRowHeight="13"/>
  <cols>
    <col min="1" max="1" width="9.33203125" style="116" customWidth="1"/>
    <col min="2" max="2" width="44.33203125" style="116" customWidth="1"/>
    <col min="3" max="3" width="15.83203125" style="116" customWidth="1"/>
    <col min="4" max="4" width="14" style="116" customWidth="1"/>
    <col min="5" max="5" width="14.33203125" style="116" customWidth="1"/>
    <col min="6" max="6" width="11.33203125" style="116" customWidth="1"/>
    <col min="7" max="7" width="12.83203125" style="116" customWidth="1"/>
    <col min="8" max="8" width="17.6640625" style="116" customWidth="1"/>
    <col min="9" max="9" width="10.83203125" style="116" customWidth="1"/>
    <col min="10" max="10" width="10.1640625" style="116" bestFit="1" customWidth="1"/>
    <col min="11" max="11" width="9.83203125" style="116" customWidth="1"/>
    <col min="12" max="12" width="12.1640625" style="116" customWidth="1"/>
    <col min="13" max="13" width="13.83203125" style="116" customWidth="1"/>
    <col min="14" max="14" width="13.5" style="116" customWidth="1"/>
    <col min="15" max="15" width="22.33203125" style="116" customWidth="1"/>
    <col min="16" max="16" width="12.83203125" style="116" customWidth="1"/>
    <col min="17" max="17" width="2.5" style="116" customWidth="1"/>
    <col min="18" max="18" width="9.1640625" style="116"/>
    <col min="19" max="19" width="10.5" style="116" customWidth="1"/>
    <col min="20" max="20" width="10.83203125" style="116" bestFit="1" customWidth="1"/>
    <col min="21" max="16384" width="9.1640625" style="116"/>
  </cols>
  <sheetData>
    <row r="1" spans="1:22">
      <c r="A1" s="125" t="s">
        <v>258</v>
      </c>
      <c r="B1" s="129"/>
      <c r="C1" s="129"/>
      <c r="D1" s="125" t="str">
        <f>'Family Child Care Home'!E2</f>
        <v>Licensing</v>
      </c>
      <c r="E1" s="125"/>
    </row>
    <row r="2" spans="1:22" ht="28">
      <c r="A2" s="123"/>
      <c r="B2" s="130" t="s">
        <v>142</v>
      </c>
      <c r="C2" s="123"/>
      <c r="D2" s="131"/>
      <c r="E2" s="116" t="s">
        <v>143</v>
      </c>
      <c r="R2" s="132"/>
    </row>
    <row r="3" spans="1:22" ht="14">
      <c r="A3" s="123"/>
      <c r="B3" s="130" t="s">
        <v>144</v>
      </c>
      <c r="C3" s="123"/>
      <c r="D3" s="133"/>
      <c r="E3" s="116" t="s">
        <v>145</v>
      </c>
    </row>
    <row r="4" spans="1:22">
      <c r="A4" s="121"/>
      <c r="B4" s="134"/>
      <c r="C4" s="135"/>
      <c r="D4" s="135"/>
      <c r="E4" s="135"/>
      <c r="F4" s="135"/>
      <c r="G4" s="135"/>
    </row>
    <row r="5" spans="1:22" ht="15">
      <c r="B5" s="136"/>
      <c r="C5" s="137" t="s">
        <v>259</v>
      </c>
      <c r="D5" s="116" t="s">
        <v>260</v>
      </c>
      <c r="E5" s="138"/>
      <c r="F5" s="217" t="s">
        <v>261</v>
      </c>
      <c r="G5" s="116" t="s">
        <v>167</v>
      </c>
      <c r="H5" s="219" t="s">
        <v>262</v>
      </c>
      <c r="I5" s="221" t="s">
        <v>263</v>
      </c>
      <c r="J5" s="219" t="s">
        <v>264</v>
      </c>
      <c r="K5" s="219" t="s">
        <v>265</v>
      </c>
      <c r="L5" s="275" t="s">
        <v>266</v>
      </c>
      <c r="M5" s="123" t="s">
        <v>162</v>
      </c>
      <c r="N5" s="123"/>
      <c r="P5" s="139"/>
      <c r="Q5" s="123"/>
      <c r="R5" s="123"/>
    </row>
    <row r="6" spans="1:22" ht="15">
      <c r="A6" s="133">
        <f>'Family Child Care Home'!C8</f>
        <v>1</v>
      </c>
      <c r="B6" s="124" t="s">
        <v>234</v>
      </c>
      <c r="C6" s="140">
        <f>IF(A6&gt;0,G6,0)</f>
        <v>16909.54852293299</v>
      </c>
      <c r="D6" s="159">
        <f>C6*A6</f>
        <v>16909.54852293299</v>
      </c>
      <c r="E6" s="278">
        <f>C6/12</f>
        <v>1409.1290435777491</v>
      </c>
      <c r="F6" s="218">
        <f>$D$48/A$10</f>
        <v>2831.122176084642</v>
      </c>
      <c r="G6" s="274">
        <f>IF(A6&gt;0,M6/A6,0)</f>
        <v>16909.54852293299</v>
      </c>
      <c r="H6" s="276">
        <f>SUM(I6:L6)</f>
        <v>14091.290435777491</v>
      </c>
      <c r="I6" s="283">
        <f>SUM(C19/A$10*A6)</f>
        <v>8860.494712990936</v>
      </c>
      <c r="J6" s="276">
        <f>SUM($C$26/$A$10)*A6</f>
        <v>899.34021336857995</v>
      </c>
      <c r="K6" s="276">
        <f>SUM(C$32/$A$10)*A6</f>
        <v>1500.3333333333333</v>
      </c>
      <c r="L6" s="276">
        <f>SUM(D$48/A$10*A6)</f>
        <v>2831.122176084642</v>
      </c>
      <c r="M6" s="311">
        <f>SUM(H6,N$12*A6)</f>
        <v>16909.54852293299</v>
      </c>
      <c r="O6" s="139"/>
    </row>
    <row r="7" spans="1:22" ht="15">
      <c r="A7" s="133">
        <f>'Family Child Care Home'!C9</f>
        <v>1</v>
      </c>
      <c r="B7" s="124" t="s">
        <v>267</v>
      </c>
      <c r="C7" s="140">
        <f>IF(A7&gt;0,G7,0)</f>
        <v>16909.54852293299</v>
      </c>
      <c r="D7" s="159">
        <f>C7*A7</f>
        <v>16909.54852293299</v>
      </c>
      <c r="E7" s="278">
        <f t="shared" ref="E7:E9" si="0">C7/12</f>
        <v>1409.1290435777491</v>
      </c>
      <c r="F7" s="218">
        <f>$D$48/A$10</f>
        <v>2831.122176084642</v>
      </c>
      <c r="G7" s="274">
        <f t="shared" ref="G7:G9" si="1">IF(A7&gt;0,M7/A7,0)</f>
        <v>16909.54852293299</v>
      </c>
      <c r="H7" s="276">
        <f>SUM(I7:L7)</f>
        <v>14091.290435777491</v>
      </c>
      <c r="I7" s="283">
        <f>SUM(C$19/A$10*A7)</f>
        <v>8860.494712990936</v>
      </c>
      <c r="J7" s="276">
        <f>SUM($C$26/$A$10)*A7</f>
        <v>899.34021336857995</v>
      </c>
      <c r="K7" s="276">
        <f>SUM(C$32/$A$10)*A7</f>
        <v>1500.3333333333333</v>
      </c>
      <c r="L7" s="276">
        <f>SUM(D$48/A$10*A7)</f>
        <v>2831.122176084642</v>
      </c>
      <c r="M7" s="311">
        <f>SUM(H7,N$12*A7)</f>
        <v>16909.54852293299</v>
      </c>
      <c r="O7" s="143"/>
      <c r="P7" s="143"/>
      <c r="Q7" s="144"/>
      <c r="R7" s="128"/>
      <c r="T7" s="128"/>
    </row>
    <row r="8" spans="1:22" ht="15">
      <c r="A8" s="133">
        <f>'Family Child Care Home'!C10</f>
        <v>2</v>
      </c>
      <c r="B8" s="124" t="s">
        <v>268</v>
      </c>
      <c r="C8" s="140">
        <f>IF(A8&gt;0,G8,0)</f>
        <v>16909.54852293299</v>
      </c>
      <c r="D8" s="159">
        <f>C8*A8</f>
        <v>33819.097045865979</v>
      </c>
      <c r="E8" s="278">
        <f t="shared" si="0"/>
        <v>1409.1290435777491</v>
      </c>
      <c r="F8" s="218">
        <f>$D$48/A$10</f>
        <v>2831.122176084642</v>
      </c>
      <c r="G8" s="274">
        <f t="shared" si="1"/>
        <v>16909.54852293299</v>
      </c>
      <c r="H8" s="276">
        <f>SUM(I8:L8)</f>
        <v>28182.580871554983</v>
      </c>
      <c r="I8" s="283">
        <f>SUM(C$19/A$10*A8)</f>
        <v>17720.989425981872</v>
      </c>
      <c r="J8" s="276">
        <f>SUM($C$26/$A$10)*A8</f>
        <v>1798.6804267371599</v>
      </c>
      <c r="K8" s="276">
        <f>SUM(C$32/$A$10)*A8</f>
        <v>3000.6666666666665</v>
      </c>
      <c r="L8" s="276">
        <f>SUM(D$48/A$10*A8)</f>
        <v>5662.244352169284</v>
      </c>
      <c r="M8" s="311">
        <f>SUM(H8,N$12*A8)</f>
        <v>33819.097045865979</v>
      </c>
      <c r="O8" s="143"/>
      <c r="P8" s="143"/>
      <c r="Q8" s="144"/>
      <c r="R8" s="128"/>
      <c r="V8" s="128"/>
    </row>
    <row r="9" spans="1:22" ht="15">
      <c r="A9" s="133">
        <f>'Family Child Care Home'!C11</f>
        <v>2</v>
      </c>
      <c r="B9" s="124" t="s">
        <v>22</v>
      </c>
      <c r="C9" s="140">
        <f>IF(A9&gt;0,G9,0)</f>
        <v>8454.7742614664949</v>
      </c>
      <c r="D9" s="159">
        <f>C9*A9</f>
        <v>16909.54852293299</v>
      </c>
      <c r="E9" s="278">
        <f t="shared" si="0"/>
        <v>704.56452178887457</v>
      </c>
      <c r="F9" s="220">
        <f>$D$48/A$10</f>
        <v>2831.122176084642</v>
      </c>
      <c r="G9" s="274">
        <f t="shared" si="1"/>
        <v>8454.7742614664949</v>
      </c>
      <c r="H9" s="276">
        <f>SUM(I9:L9)</f>
        <v>28182.580871554983</v>
      </c>
      <c r="I9" s="283">
        <f>SUM(C$19/A$10*A9)</f>
        <v>17720.989425981872</v>
      </c>
      <c r="J9" s="276">
        <f>SUM($C$26/$A$10)*A9</f>
        <v>1798.6804267371599</v>
      </c>
      <c r="K9" s="276">
        <f>SUM(C$32/$A$10)*A9</f>
        <v>3000.6666666666665</v>
      </c>
      <c r="L9" s="276">
        <f>SUM(D$48/A$10*A9)</f>
        <v>5662.244352169284</v>
      </c>
      <c r="M9" s="183">
        <f>H9*60%</f>
        <v>16909.54852293299</v>
      </c>
      <c r="O9" s="143"/>
      <c r="P9" s="143"/>
      <c r="Q9" s="144"/>
      <c r="R9" s="128"/>
    </row>
    <row r="10" spans="1:22" ht="15">
      <c r="A10" s="157">
        <f>SUM(A6:A9)</f>
        <v>6</v>
      </c>
      <c r="B10" s="145" t="s">
        <v>269</v>
      </c>
      <c r="C10" s="146"/>
      <c r="D10" s="252">
        <f>SUM(D6:D9)</f>
        <v>84547.742614664952</v>
      </c>
      <c r="E10" s="501" t="str">
        <f>IF(F12=0,"Correct", "Error" )</f>
        <v>Correct</v>
      </c>
      <c r="F10" s="253">
        <f>D10</f>
        <v>84547.742614664952</v>
      </c>
      <c r="G10" s="138"/>
      <c r="H10" s="277">
        <f t="shared" ref="H10:M10" si="2">SUM(H6:H9)</f>
        <v>84547.742614664952</v>
      </c>
      <c r="I10" s="277">
        <f t="shared" si="2"/>
        <v>53162.96827794562</v>
      </c>
      <c r="J10" s="277">
        <f t="shared" si="2"/>
        <v>5396.0412802114797</v>
      </c>
      <c r="K10" s="277">
        <f t="shared" si="2"/>
        <v>9002</v>
      </c>
      <c r="L10" s="277">
        <f t="shared" si="2"/>
        <v>16986.733056507852</v>
      </c>
      <c r="M10" s="277">
        <f t="shared" si="2"/>
        <v>84547.742614664952</v>
      </c>
      <c r="O10" s="143"/>
      <c r="P10" s="143"/>
      <c r="Q10" s="144"/>
      <c r="R10" s="128"/>
    </row>
    <row r="11" spans="1:22">
      <c r="A11" s="300">
        <f>SUM(A6:A8)</f>
        <v>4</v>
      </c>
      <c r="B11" s="124"/>
      <c r="D11" s="141"/>
      <c r="F11" s="254">
        <f>D48</f>
        <v>16986.733056507852</v>
      </c>
      <c r="I11" s="310"/>
      <c r="K11" s="142"/>
      <c r="L11" s="142"/>
      <c r="M11" s="142"/>
      <c r="N11" s="309">
        <f>H9-M9</f>
        <v>11273.032348621993</v>
      </c>
      <c r="P11" s="143"/>
      <c r="Q11" s="143"/>
      <c r="R11" s="144"/>
      <c r="S11" s="128"/>
    </row>
    <row r="12" spans="1:22" ht="17">
      <c r="A12" s="263">
        <f>SUM(A6:A7)</f>
        <v>2</v>
      </c>
      <c r="B12" s="147" t="s">
        <v>120</v>
      </c>
      <c r="C12" s="148"/>
      <c r="F12" s="254">
        <f>D10-D50</f>
        <v>0</v>
      </c>
      <c r="I12" s="309"/>
      <c r="J12" s="183"/>
      <c r="K12" s="142"/>
      <c r="L12" s="142"/>
      <c r="M12" s="142"/>
      <c r="N12" s="309">
        <f>N11/SUM(A6:A8)</f>
        <v>2818.2580871554983</v>
      </c>
      <c r="P12" s="143"/>
      <c r="Q12" s="143"/>
      <c r="R12" s="144"/>
      <c r="S12" s="128"/>
      <c r="T12" s="143"/>
    </row>
    <row r="13" spans="1:22" ht="18" thickBot="1">
      <c r="B13" s="149" t="s">
        <v>270</v>
      </c>
      <c r="C13" s="150"/>
      <c r="D13" s="151"/>
      <c r="E13" s="151"/>
      <c r="F13" s="151"/>
      <c r="G13" s="150"/>
      <c r="H13" s="18"/>
      <c r="L13"/>
      <c r="M13" s="32"/>
      <c r="N13" s="495"/>
      <c r="O13" s="495"/>
      <c r="P13" s="143"/>
      <c r="R13" s="144"/>
      <c r="S13" s="128"/>
      <c r="T13" s="143"/>
    </row>
    <row r="14" spans="1:22" ht="16">
      <c r="B14" s="152"/>
      <c r="C14" s="116" t="s">
        <v>160</v>
      </c>
      <c r="D14" s="116" t="s">
        <v>41</v>
      </c>
      <c r="E14" s="153"/>
      <c r="H14" s="32"/>
      <c r="I14" s="427"/>
      <c r="J14" s="427"/>
      <c r="K14" s="427"/>
      <c r="L14" s="198"/>
      <c r="M14" s="427"/>
      <c r="N14" s="427"/>
      <c r="O14" s="427"/>
      <c r="P14" s="128"/>
      <c r="Q14" s="143"/>
    </row>
    <row r="15" spans="1:22" ht="14">
      <c r="A15" s="185">
        <v>1</v>
      </c>
      <c r="B15" s="124" t="s">
        <v>271</v>
      </c>
      <c r="C15" s="250">
        <f>D15*A15</f>
        <v>53057.968277945612</v>
      </c>
      <c r="D15" s="280">
        <f>IF(SalaryScaleFCC="BLS",Wages!$B9,
IF(SalaryScaleFCC="BLS, $15 min wage adjusted",Wages!$C9,
IF(SalaryScaleFCC="Living Wage",Wages!$D9,
IF(SalaryScaleFCC="User added",Wages!$F9,0))))</f>
        <v>53057.968277945612</v>
      </c>
      <c r="E15" s="154"/>
      <c r="H15" s="10"/>
      <c r="I15" s="10"/>
      <c r="J15" s="10"/>
      <c r="K15" s="10"/>
      <c r="L15"/>
      <c r="M15" s="14"/>
      <c r="N15" s="14"/>
      <c r="O15" s="14"/>
      <c r="P15" s="128"/>
      <c r="Q15" s="143"/>
    </row>
    <row r="16" spans="1:22" ht="14">
      <c r="A16" s="184">
        <f>IF(A10&gt;6,1,0)</f>
        <v>0</v>
      </c>
      <c r="B16" s="124" t="s">
        <v>272</v>
      </c>
      <c r="C16" s="250">
        <f t="shared" ref="C16" si="3">D16*A16</f>
        <v>0</v>
      </c>
      <c r="D16" s="280">
        <f>IF(SalaryScaleFCC="BLS",Wages!$B7,
IF(SalaryScaleFCC="BLS, $15 min wage adjusted",Wages!$C7,
IF(SalaryScaleFCC="Living Wage",Wages!$D7,
IF(SalaryScaleFCC="User added",Wages!$F7,0))))</f>
        <v>31200</v>
      </c>
      <c r="E16" s="154"/>
      <c r="G16" s="154"/>
      <c r="H16" s="10"/>
      <c r="I16" s="10"/>
      <c r="J16" s="10"/>
      <c r="K16" s="10"/>
      <c r="L16"/>
      <c r="M16" s="14"/>
      <c r="N16" s="14"/>
      <c r="O16" s="14"/>
      <c r="P16" s="128"/>
      <c r="Q16" s="143"/>
    </row>
    <row r="17" spans="1:16" ht="14">
      <c r="A17" s="184">
        <f>IF(A6&gt;2,1,0)</f>
        <v>0</v>
      </c>
      <c r="B17" s="124" t="s">
        <v>273</v>
      </c>
      <c r="C17" s="250">
        <f>D17*A17</f>
        <v>0</v>
      </c>
      <c r="D17" s="280">
        <f>D16</f>
        <v>31200</v>
      </c>
      <c r="E17" s="119" t="s">
        <v>274</v>
      </c>
      <c r="F17" s="561" t="s">
        <v>275</v>
      </c>
      <c r="H17"/>
      <c r="I17"/>
      <c r="L17" s="128"/>
      <c r="M17" s="14"/>
      <c r="N17" s="14"/>
      <c r="O17" s="14"/>
    </row>
    <row r="18" spans="1:16" ht="15">
      <c r="A18" s="504">
        <f>IF(D1="Licensing",(7*A15+4*A16+4*A17),
IF(D1="Star 1",(7*A15+4*A16+4*A17),
IF(D1="Star 2",(12*A15+6*A16+6*A17),
IF(D1="Star 3",(10*A15+6*A16+6*A17),
IF(D1="Star 4",(15*A15+15*A16+15*A17),
IF(D1="Star 5",(6*A15+36*A16+36*A17),)))
)))</f>
        <v>7</v>
      </c>
      <c r="B18" s="124" t="s">
        <v>276</v>
      </c>
      <c r="C18" s="250">
        <f>E18*A18</f>
        <v>105</v>
      </c>
      <c r="D18" s="280">
        <f>D17</f>
        <v>31200</v>
      </c>
      <c r="E18" s="500">
        <f>D18/2080</f>
        <v>15</v>
      </c>
      <c r="F18" s="560">
        <f>E18*8</f>
        <v>120</v>
      </c>
      <c r="G18" s="315"/>
      <c r="H18" s="505"/>
      <c r="I18" s="496"/>
      <c r="J18" s="138"/>
      <c r="K18" s="144"/>
      <c r="L18" s="141"/>
      <c r="M18" s="10"/>
      <c r="N18" s="74"/>
      <c r="O18" s="32"/>
      <c r="P18"/>
    </row>
    <row r="19" spans="1:16">
      <c r="A19" s="156">
        <f>SUM(A15:A17)</f>
        <v>1</v>
      </c>
      <c r="B19" s="122" t="s">
        <v>277</v>
      </c>
      <c r="C19" s="330">
        <f>SUM(C15:C18)</f>
        <v>53162.968277945612</v>
      </c>
      <c r="D19" s="157"/>
      <c r="E19" s="158"/>
      <c r="F19" s="158"/>
      <c r="G19" s="158"/>
      <c r="H19" s="490"/>
      <c r="I19" s="490"/>
      <c r="J19" s="183"/>
      <c r="K19" s="490"/>
      <c r="L19" s="141"/>
      <c r="M19" s="10"/>
      <c r="N19" s="429"/>
      <c r="O19" s="32"/>
      <c r="P19" s="5"/>
    </row>
    <row r="20" spans="1:16">
      <c r="A20" s="183"/>
      <c r="B20" s="124"/>
      <c r="E20" s="159"/>
      <c r="H20" s="144"/>
      <c r="I20" s="144"/>
      <c r="M20" s="14"/>
      <c r="N20" s="14"/>
      <c r="O20" s="14"/>
      <c r="P20"/>
    </row>
    <row r="21" spans="1:16" ht="15">
      <c r="B21" s="145" t="s">
        <v>278</v>
      </c>
      <c r="C21" s="127"/>
      <c r="D21" s="116" t="s">
        <v>160</v>
      </c>
      <c r="E21" s="159"/>
      <c r="H21" s="138"/>
      <c r="I21" s="138"/>
      <c r="J21" s="138"/>
      <c r="M21" s="14"/>
      <c r="N21" s="14"/>
      <c r="O21" s="14"/>
      <c r="P21"/>
    </row>
    <row r="22" spans="1:16" ht="15">
      <c r="B22" s="124" t="s">
        <v>192</v>
      </c>
      <c r="C22" s="183">
        <f>$C$19*D22</f>
        <v>3296.1040332326279</v>
      </c>
      <c r="D22" s="160">
        <v>6.2E-2</v>
      </c>
      <c r="F22" s="183"/>
      <c r="G22" s="141"/>
      <c r="H22" s="138"/>
      <c r="I22" s="138"/>
      <c r="J22" s="138"/>
      <c r="M22" s="14"/>
      <c r="N22" s="14"/>
      <c r="O22" s="14"/>
      <c r="P22"/>
    </row>
    <row r="23" spans="1:16" ht="15">
      <c r="B23" s="124" t="s">
        <v>193</v>
      </c>
      <c r="C23" s="183">
        <f>$C$19*D23</f>
        <v>770.86304003021144</v>
      </c>
      <c r="D23" s="160">
        <v>1.4500000000000001E-2</v>
      </c>
      <c r="F23" s="183"/>
      <c r="G23" s="141"/>
      <c r="H23" s="138"/>
      <c r="I23" s="138"/>
      <c r="J23" s="138"/>
      <c r="M23" s="14"/>
      <c r="N23" s="14"/>
      <c r="O23" s="14"/>
      <c r="P23" s="32"/>
    </row>
    <row r="24" spans="1:16" ht="15">
      <c r="B24" s="124" t="s">
        <v>279</v>
      </c>
      <c r="C24" s="183">
        <f>$C$19*D24</f>
        <v>265.81484138972809</v>
      </c>
      <c r="D24" s="160">
        <v>5.0000000000000001E-3</v>
      </c>
      <c r="F24" s="183"/>
      <c r="G24" s="141"/>
      <c r="H24" s="138"/>
      <c r="I24" s="278"/>
      <c r="J24" s="138"/>
      <c r="K24" s="138"/>
      <c r="L24" s="138"/>
      <c r="M24" s="14"/>
      <c r="N24" s="14"/>
      <c r="O24" s="14"/>
      <c r="P24" s="138"/>
    </row>
    <row r="25" spans="1:16" ht="15">
      <c r="B25" s="124" t="s">
        <v>195</v>
      </c>
      <c r="C25" s="183">
        <f>$C$19*D25</f>
        <v>1063.2593655589124</v>
      </c>
      <c r="D25" s="160">
        <v>0.02</v>
      </c>
      <c r="F25" s="183"/>
      <c r="G25" s="141"/>
      <c r="H25" s="138"/>
      <c r="I25" s="497"/>
      <c r="J25" s="138"/>
      <c r="K25" s="138"/>
      <c r="L25" s="138"/>
      <c r="M25" s="14"/>
      <c r="N25" s="14"/>
      <c r="O25" s="14"/>
      <c r="P25" s="138"/>
    </row>
    <row r="26" spans="1:16" ht="14">
      <c r="B26" s="162" t="s">
        <v>196</v>
      </c>
      <c r="C26" s="330">
        <f>SUM(C22:C25)</f>
        <v>5396.0412802114797</v>
      </c>
      <c r="D26" s="163">
        <f>SUM(D22:D25)</f>
        <v>0.10150000000000001</v>
      </c>
      <c r="E26" s="157"/>
      <c r="F26" s="330"/>
      <c r="G26" s="146"/>
      <c r="H26" s="254"/>
      <c r="I26" s="312">
        <f>SUM((F26*0.75))</f>
        <v>0</v>
      </c>
      <c r="J26" s="313"/>
      <c r="K26" s="183"/>
    </row>
    <row r="27" spans="1:16">
      <c r="B27" s="124"/>
      <c r="D27" s="488"/>
      <c r="E27" s="159"/>
      <c r="F27" s="125"/>
      <c r="G27" s="161"/>
      <c r="H27" s="312"/>
      <c r="I27" s="312">
        <f>SUM(F26*0.25)</f>
        <v>0</v>
      </c>
      <c r="J27" s="314">
        <f>(F26*0.25/(SUM(A6:A7)*A7))</f>
        <v>0</v>
      </c>
      <c r="K27" s="144"/>
    </row>
    <row r="28" spans="1:16" ht="14">
      <c r="B28" s="145" t="s">
        <v>197</v>
      </c>
      <c r="C28" s="164" t="s">
        <v>280</v>
      </c>
      <c r="F28" s="171"/>
      <c r="G28" s="159"/>
      <c r="H28" s="141"/>
    </row>
    <row r="29" spans="1:16" ht="14">
      <c r="B29" s="124" t="s">
        <v>281</v>
      </c>
      <c r="C29" s="250">
        <f>IF(SickDaysFCC&gt;0,(SickDaysFCC*(F18)),0)*A19</f>
        <v>1200</v>
      </c>
      <c r="D29" s="183"/>
      <c r="E29" s="183"/>
      <c r="F29" s="171"/>
      <c r="G29" s="159"/>
      <c r="H29" s="141"/>
    </row>
    <row r="30" spans="1:16" ht="14">
      <c r="B30" s="124" t="s">
        <v>282</v>
      </c>
      <c r="C30" s="250">
        <f>IF(PaidLeaveFCC&gt;0,(PaidLeaveFCC*F18*A19),0)</f>
        <v>1200</v>
      </c>
      <c r="D30" s="311"/>
      <c r="E30" s="164"/>
      <c r="F30" s="171"/>
      <c r="G30" s="159"/>
      <c r="H30" s="141"/>
    </row>
    <row r="31" spans="1:16" ht="14">
      <c r="B31" s="165" t="s">
        <v>198</v>
      </c>
      <c r="C31" s="250">
        <f>IF(HealthInsFCC='Family Child Care Home'!J24,6602,IF(HealthInsFCC='Family Child Care Home'!K24,5000,IF(HealthInsFCC='Family Child Care Home'!L24,7500,IF(HealthInsFCC='Family Child Care Home'!M24,10000,0))))*A19</f>
        <v>6602</v>
      </c>
      <c r="D31" s="311"/>
      <c r="E31" s="159"/>
      <c r="F31" s="247"/>
      <c r="G31" s="159"/>
      <c r="H31" s="494"/>
    </row>
    <row r="32" spans="1:16">
      <c r="B32" s="122" t="s">
        <v>265</v>
      </c>
      <c r="C32" s="489">
        <f>SUM(C29:C31)</f>
        <v>9002</v>
      </c>
      <c r="E32" s="161"/>
      <c r="F32" s="161"/>
      <c r="G32" s="161"/>
      <c r="H32" s="141"/>
      <c r="I32" s="490"/>
      <c r="J32" s="183"/>
      <c r="K32" s="183"/>
    </row>
    <row r="33" spans="2:9">
      <c r="B33" s="165"/>
      <c r="C33" s="166"/>
      <c r="D33" s="159"/>
      <c r="E33" s="159"/>
      <c r="F33" s="491"/>
      <c r="G33" s="492"/>
      <c r="H33" s="144"/>
      <c r="I33" s="144"/>
    </row>
    <row r="34" spans="2:9">
      <c r="B34" s="122" t="s">
        <v>283</v>
      </c>
      <c r="C34" s="489">
        <f>SUM(C19,C26,C32)</f>
        <v>67561.009558157093</v>
      </c>
      <c r="D34" s="161"/>
      <c r="E34" s="161"/>
      <c r="F34" s="161"/>
      <c r="G34" s="161"/>
    </row>
    <row r="35" spans="2:9">
      <c r="B35" s="124"/>
      <c r="D35" s="171"/>
      <c r="E35" s="159"/>
    </row>
    <row r="36" spans="2:9" ht="35" thickBot="1">
      <c r="B36" s="167" t="s">
        <v>284</v>
      </c>
      <c r="C36" s="168"/>
      <c r="D36" s="151" t="s">
        <v>160</v>
      </c>
      <c r="E36" s="493"/>
      <c r="F36" s="493"/>
    </row>
    <row r="37" spans="2:9" ht="14">
      <c r="B37" s="124" t="s">
        <v>285</v>
      </c>
      <c r="E37" s="159" t="s">
        <v>206</v>
      </c>
      <c r="F37" s="160"/>
    </row>
    <row r="38" spans="2:9" ht="14">
      <c r="B38" s="124" t="s">
        <v>286</v>
      </c>
      <c r="D38" s="159">
        <f>Nonpersonnel!I38*A10</f>
        <v>3657.3945019999992</v>
      </c>
      <c r="E38" s="549">
        <f>Nonpersonnel!I38</f>
        <v>609.5657503333332</v>
      </c>
      <c r="F38" s="141"/>
      <c r="G38" s="141"/>
      <c r="I38" s="141"/>
    </row>
    <row r="39" spans="2:9" ht="14">
      <c r="B39" s="124" t="s">
        <v>287</v>
      </c>
      <c r="D39" s="159">
        <f>Nonpersonnel!I40*A10</f>
        <v>5934.3203050000002</v>
      </c>
      <c r="E39" s="549">
        <f>Nonpersonnel!I40</f>
        <v>989.05338416666666</v>
      </c>
      <c r="F39" s="141"/>
      <c r="G39" s="141"/>
      <c r="I39" s="183"/>
    </row>
    <row r="40" spans="2:9" ht="14">
      <c r="B40" s="255" t="s">
        <v>87</v>
      </c>
      <c r="C40" s="169"/>
      <c r="D40" s="159">
        <f>Nonpersonnel!I39*A10</f>
        <v>3368.9352678571422</v>
      </c>
      <c r="E40" s="549">
        <f>Nonpersonnel!I39</f>
        <v>561.48921130952374</v>
      </c>
      <c r="F40" s="141"/>
      <c r="G40" s="141"/>
      <c r="I40" s="183"/>
    </row>
    <row r="41" spans="2:9" ht="14">
      <c r="B41" s="124" t="s">
        <v>127</v>
      </c>
      <c r="D41" s="159">
        <f>'Family Child Care Home'!D26*(A10*2*E18)</f>
        <v>0</v>
      </c>
      <c r="E41" s="141"/>
      <c r="F41" s="141"/>
      <c r="G41" s="141"/>
      <c r="I41" s="183"/>
    </row>
    <row r="42" spans="2:9" ht="14">
      <c r="B42" s="124" t="s">
        <v>66</v>
      </c>
      <c r="D42" s="159">
        <f>'Family Child Care Home'!D27*'Family Child Care Home'!F27</f>
        <v>0</v>
      </c>
      <c r="E42" s="141"/>
      <c r="F42" s="141"/>
      <c r="G42" s="141"/>
      <c r="I42" s="183"/>
    </row>
    <row r="43" spans="2:9" ht="14">
      <c r="B43" s="124" t="s">
        <v>288</v>
      </c>
      <c r="D43" s="159">
        <f>SUM(('Family Child Care Home'!D29*12*'Family Child Care Home'!F29),('Family Child Care Home'!D30*12))</f>
        <v>0</v>
      </c>
      <c r="E43" s="141"/>
      <c r="F43" s="141"/>
      <c r="I43" s="159"/>
    </row>
    <row r="44" spans="2:9">
      <c r="B44" s="499"/>
      <c r="C44" s="320" t="s">
        <v>211</v>
      </c>
      <c r="D44" s="249">
        <f>SUM(D38:D43)</f>
        <v>12960.650074857142</v>
      </c>
      <c r="E44" s="170"/>
    </row>
    <row r="45" spans="2:9" ht="14">
      <c r="B45" s="124" t="s">
        <v>289</v>
      </c>
      <c r="C45" s="122"/>
      <c r="D45" s="247"/>
      <c r="E45" s="170"/>
    </row>
    <row r="46" spans="2:9">
      <c r="B46" s="157"/>
      <c r="C46" s="320" t="s">
        <v>290</v>
      </c>
      <c r="D46" s="249">
        <f>SUM(D44:D45)</f>
        <v>12960.650074857142</v>
      </c>
      <c r="E46" s="170"/>
    </row>
    <row r="47" spans="2:9" ht="14">
      <c r="B47" s="124" t="s">
        <v>291</v>
      </c>
      <c r="D47" s="247">
        <f>SUM(D46,C34)*E47</f>
        <v>4026.0829816507121</v>
      </c>
      <c r="E47" s="248">
        <f>'Family Child Care Home'!D32</f>
        <v>0.05</v>
      </c>
      <c r="F47" s="141"/>
      <c r="H47" s="141"/>
    </row>
    <row r="48" spans="2:9">
      <c r="B48" s="934" t="s">
        <v>292</v>
      </c>
      <c r="C48" s="934"/>
      <c r="D48" s="146">
        <f>SUM(D46:D47)</f>
        <v>16986.733056507852</v>
      </c>
      <c r="E48" s="161"/>
      <c r="F48" s="319"/>
    </row>
    <row r="49" spans="1:15">
      <c r="B49" s="122"/>
      <c r="C49" s="122"/>
      <c r="D49" s="161"/>
      <c r="E49" s="161"/>
      <c r="F49" s="319"/>
    </row>
    <row r="50" spans="1:15">
      <c r="B50" s="499"/>
      <c r="C50" s="498" t="s">
        <v>293</v>
      </c>
      <c r="D50" s="252">
        <f>SUM(C34,D48)</f>
        <v>84547.742614664952</v>
      </c>
      <c r="E50" s="285"/>
      <c r="F50" s="284"/>
      <c r="G50" s="284"/>
      <c r="H50" s="286"/>
      <c r="I50" s="141"/>
    </row>
    <row r="51" spans="1:15">
      <c r="A51" s="116" t="s">
        <v>215</v>
      </c>
      <c r="B51" s="171"/>
      <c r="C51" s="141"/>
      <c r="H51" s="159"/>
      <c r="M51"/>
      <c r="N51"/>
      <c r="O51"/>
    </row>
    <row r="52" spans="1:15" customFormat="1" ht="14">
      <c r="A52" s="227">
        <f>SUM(A55:A58)</f>
        <v>0</v>
      </c>
      <c r="B52" s="304"/>
      <c r="C52" s="502"/>
      <c r="D52" s="303" t="s">
        <v>217</v>
      </c>
      <c r="E52" s="303" t="s">
        <v>216</v>
      </c>
      <c r="F52" s="302"/>
      <c r="G52" s="302"/>
      <c r="H52" s="302"/>
      <c r="I52" s="302"/>
      <c r="J52" s="32"/>
    </row>
    <row r="53" spans="1:15" customFormat="1">
      <c r="A53" s="83"/>
      <c r="B53" s="226" t="s">
        <v>94</v>
      </c>
      <c r="D53" s="24"/>
      <c r="E53" s="32"/>
      <c r="I53" s="10"/>
      <c r="J53" s="32"/>
    </row>
    <row r="54" spans="1:15" customFormat="1">
      <c r="A54" s="234">
        <f>'Family Child Care Home'!D43</f>
        <v>0</v>
      </c>
      <c r="B54" s="83" t="s">
        <v>218</v>
      </c>
      <c r="D54" s="24">
        <f>IF('Family Child Care Home'!C55="Yes",QualityHomeProfile!E54,0)</f>
        <v>0</v>
      </c>
      <c r="E54" s="36">
        <f>SUM(('Family Child Care Home'!C51*'Fed CACFP'!F14)*52)</f>
        <v>0</v>
      </c>
      <c r="F54" s="52" t="s">
        <v>294</v>
      </c>
      <c r="G54" s="52" t="s">
        <v>295</v>
      </c>
      <c r="H54" s="52" t="s">
        <v>235</v>
      </c>
      <c r="I54" s="52" t="s">
        <v>22</v>
      </c>
    </row>
    <row r="55" spans="1:15" customFormat="1">
      <c r="A55" s="234">
        <f>'Family Child Care Home'!D42</f>
        <v>0</v>
      </c>
      <c r="B55" s="83" t="s">
        <v>219</v>
      </c>
      <c r="D55" s="24">
        <f>SUM(F55:I55)*12</f>
        <v>66000</v>
      </c>
      <c r="E55" s="32"/>
      <c r="F55" s="306">
        <f>'Family Child Care Home'!D47*'Family Child Care Home'!F47</f>
        <v>1200</v>
      </c>
      <c r="G55" s="306">
        <f>'Family Child Care Home'!D48*'Family Child Care Home'!F48</f>
        <v>1100</v>
      </c>
      <c r="H55" s="306">
        <f>'Family Child Care Home'!D49*'Family Child Care Home'!F49</f>
        <v>2000</v>
      </c>
      <c r="I55" s="306">
        <f>'Family Child Care Home'!D50*'Family Child Care Home'!F50</f>
        <v>1200</v>
      </c>
    </row>
    <row r="56" spans="1:15" customFormat="1">
      <c r="A56" s="234">
        <f>'Family Child Care Home'!C42</f>
        <v>0</v>
      </c>
      <c r="B56" s="83" t="s">
        <v>96</v>
      </c>
      <c r="D56" s="24">
        <f>IF('Family Child Care Home'!C54="Yes",QualityHomeProfile!E56*115%,E56)</f>
        <v>0</v>
      </c>
      <c r="E56" s="32">
        <f>SUM(F56:I56)*12</f>
        <v>0</v>
      </c>
      <c r="F56" s="305">
        <f>IF($D$1="Licensing",'Subsidy rates'!B12,
IF($D$1="Star 1",'Subsidy rates'!B12,
IF($D$1="Star 2",'Subsidy rates'!C12,
IF($D$1="Star 3",'Subsidy rates'!D12,
IF($D$1="Star 4",'Subsidy rates'!E12,
IF($D$1="Star 5",'Subsidy rates'!F12,0)))))
)*'Family Child Care Home'!C47</f>
        <v>0</v>
      </c>
      <c r="G56" s="305">
        <f>IF($D$1="Licensing",'Subsidy rates'!$B14,
IF($D$1="Star 1",'Subsidy rates'!$B14,
IF($D$1="Star 2",'Subsidy rates'!$C14,
IF($D$1="Star 3",'Subsidy rates'!$D14,
IF($D$1="Star 4",'Subsidy rates'!$E14,
IF($D$1="Star 5",'Subsidy rates'!$F14,0)))))
)*'Family Child Care Home'!C48</f>
        <v>0</v>
      </c>
      <c r="H56" s="305">
        <f>IF($D$1="Licensing",'Subsidy rates'!$B15,
IF($D$1="Star 1",'Subsidy rates'!$B15,
IF($D$1="Star 2",'Subsidy rates'!$C15,
IF($D$1="Star 3",'Subsidy rates'!$D15,
IF($D$1="Star 4",'Subsidy rates'!$E15,
IF($D$1="Star 5",'Subsidy rates'!$F15,0)))))
)*'Family Child Care Home'!C49</f>
        <v>0</v>
      </c>
      <c r="I56" s="305">
        <f>IF($D$1="Licensing",'Subsidy rates'!$B17,
IF($D$1="Star 1",'Subsidy rates'!$B17,
IF($D$1="Star 2",'Subsidy rates'!$C17,
IF($D$1="Star 3",'Subsidy rates'!$D17,
IF($D$1="Star 4",'Subsidy rates'!$E17,
IF($D$1="Star 5",'Subsidy rates'!$F17,0)))))
)*'Family Child Care Home'!C50</f>
        <v>0</v>
      </c>
      <c r="J56" s="5"/>
    </row>
    <row r="57" spans="1:15" customFormat="1">
      <c r="A57" s="234"/>
      <c r="B57" s="83" t="s">
        <v>220</v>
      </c>
      <c r="D57" s="24">
        <f>IF('Family Child Care Home'!D12="Group Home",QualityHomeProfile!G57,F57)</f>
        <v>0</v>
      </c>
      <c r="E57" s="5"/>
      <c r="F57" s="508">
        <f>IF($D$1="Star 2",625,IF($D$1="Star 3",938,IF($D$1="Star 4",1250,IF($D$1="Star 5",1563,0))))*4</f>
        <v>0</v>
      </c>
      <c r="G57" s="508">
        <f>IF($D$1="Star 2",875,IF($D$1="Star 3",1375,IF($D$1="Star 4",1875,IF($D$1="Star 5",2250,0))))*4</f>
        <v>0</v>
      </c>
      <c r="H57" s="506"/>
      <c r="I57" s="507"/>
      <c r="J57" s="32"/>
    </row>
    <row r="58" spans="1:15" customFormat="1">
      <c r="A58" s="234"/>
      <c r="B58" s="83" t="s">
        <v>221</v>
      </c>
      <c r="D58" s="510">
        <f>'Family Child Care Home'!C56</f>
        <v>500</v>
      </c>
      <c r="E58" s="5"/>
      <c r="F58" s="509" t="s">
        <v>296</v>
      </c>
      <c r="G58" s="509" t="s">
        <v>297</v>
      </c>
      <c r="H58" s="32"/>
      <c r="I58" s="10"/>
      <c r="J58" s="32"/>
    </row>
    <row r="59" spans="1:15" customFormat="1">
      <c r="A59" s="83"/>
      <c r="B59" s="83"/>
      <c r="D59" s="116"/>
      <c r="E59" s="32"/>
    </row>
    <row r="60" spans="1:15" customFormat="1">
      <c r="A60" s="83"/>
      <c r="B60" s="233" t="s">
        <v>225</v>
      </c>
      <c r="D60" s="69">
        <f>SUM(D54:D58)</f>
        <v>66500</v>
      </c>
      <c r="E60" s="33" t="s">
        <v>226</v>
      </c>
    </row>
    <row r="61" spans="1:15" customFormat="1">
      <c r="K61" s="2"/>
    </row>
    <row r="62" spans="1:15" customFormat="1">
      <c r="B62" s="237" t="s">
        <v>227</v>
      </c>
      <c r="E62" s="1"/>
    </row>
    <row r="63" spans="1:15" customFormat="1">
      <c r="B63" s="38" t="s">
        <v>228</v>
      </c>
      <c r="C63" s="235">
        <f>1-EnrollEffic</f>
        <v>0.15000000000000002</v>
      </c>
      <c r="D63" s="34">
        <f>C63*D60</f>
        <v>9975.0000000000018</v>
      </c>
    </row>
    <row r="64" spans="1:15" customFormat="1">
      <c r="B64" s="38" t="s">
        <v>229</v>
      </c>
      <c r="C64" s="235">
        <f>BadDebt</f>
        <v>0.03</v>
      </c>
      <c r="D64" s="236">
        <f>C64*D60</f>
        <v>1995</v>
      </c>
    </row>
    <row r="65" spans="1:15" customFormat="1">
      <c r="D65" s="69">
        <f>D60-D63-D64</f>
        <v>54530</v>
      </c>
      <c r="E65" s="33" t="s">
        <v>298</v>
      </c>
    </row>
    <row r="66" spans="1:15" customFormat="1">
      <c r="B66" s="9" t="s">
        <v>230</v>
      </c>
      <c r="D66" s="69"/>
      <c r="E66" s="33"/>
      <c r="M66" s="116"/>
      <c r="N66" s="116"/>
      <c r="O66" s="116"/>
    </row>
    <row r="67" spans="1:15">
      <c r="A67" s="308"/>
      <c r="B67" s="238" t="s">
        <v>139</v>
      </c>
      <c r="C67" s="238"/>
      <c r="D67" s="239">
        <f>D65-D50</f>
        <v>-30017.742614664952</v>
      </c>
      <c r="E67" s="240">
        <f>D67/D50</f>
        <v>-0.35503896007577523</v>
      </c>
      <c r="F67" s="238" t="s">
        <v>203</v>
      </c>
    </row>
    <row r="68" spans="1:15">
      <c r="A68" s="308"/>
    </row>
    <row r="69" spans="1:15">
      <c r="A69" s="308"/>
    </row>
    <row r="70" spans="1:15">
      <c r="A70" s="308"/>
    </row>
  </sheetData>
  <mergeCells count="1">
    <mergeCell ref="B48:C48"/>
  </mergeCells>
  <conditionalFormatting sqref="E10">
    <cfRule type="containsText" dxfId="1" priority="1" operator="containsText" text="Incorrect">
      <formula>NOT(ISERROR(SEARCH("Incorrect",E10)))</formula>
    </cfRule>
  </conditionalFormatting>
  <conditionalFormatting sqref="E50">
    <cfRule type="cellIs" dxfId="0" priority="3" operator="lessThan">
      <formula>0</formula>
    </cfRule>
  </conditionalFormatting>
  <pageMargins left="0.2" right="0.2" top="0.25" bottom="0.2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241F6-8027-B04A-AE54-122367FE2998}">
  <sheetPr codeName="Sheet6">
    <tabColor theme="0" tint="-0.14999847407452621"/>
  </sheetPr>
  <dimension ref="A1:M45"/>
  <sheetViews>
    <sheetView workbookViewId="0">
      <selection sqref="A1:F1"/>
    </sheetView>
  </sheetViews>
  <sheetFormatPr baseColWidth="10" defaultColWidth="11.5" defaultRowHeight="13"/>
  <cols>
    <col min="1" max="1" width="23.33203125" customWidth="1"/>
    <col min="2" max="2" width="13.33203125" bestFit="1" customWidth="1"/>
    <col min="3" max="3" width="13.83203125" customWidth="1"/>
    <col min="4" max="4" width="15.5" customWidth="1"/>
    <col min="5" max="5" width="14.33203125" customWidth="1"/>
    <col min="6" max="6" width="12.6640625" customWidth="1"/>
    <col min="7" max="8" width="9.6640625" customWidth="1"/>
    <col min="9" max="9" width="13.33203125" customWidth="1"/>
    <col min="10" max="10" width="18.1640625" customWidth="1"/>
    <col min="12" max="12" width="13.6640625" customWidth="1"/>
  </cols>
  <sheetData>
    <row r="1" spans="1:13" ht="14">
      <c r="A1" s="264" t="str">
        <f>RatioOpt</f>
        <v>Licensing</v>
      </c>
      <c r="B1" s="21" t="s">
        <v>299</v>
      </c>
      <c r="C1" s="258"/>
      <c r="D1" s="258"/>
      <c r="E1" s="258"/>
      <c r="G1" s="258"/>
    </row>
    <row r="2" spans="1:13" s="2" customFormat="1" ht="30" customHeight="1">
      <c r="A2" s="259"/>
      <c r="B2" s="259" t="str">
        <f>A11</f>
        <v>BLS</v>
      </c>
      <c r="C2" s="259" t="str">
        <f>A20</f>
        <v>BLS, $15 min wage adjusted</v>
      </c>
      <c r="D2" s="405" t="s">
        <v>34</v>
      </c>
      <c r="E2" s="267" t="s">
        <v>300</v>
      </c>
      <c r="F2" s="265" t="s">
        <v>301</v>
      </c>
    </row>
    <row r="3" spans="1:13" ht="14">
      <c r="A3" s="257" t="s">
        <v>43</v>
      </c>
      <c r="B3" s="318">
        <f t="shared" ref="B3:B8" si="0">IF($A$1="Licensing",B12,IF($A$1="Star 1",B12,IF($A$1="Star 2",C12,IF($A$1="Star 3",D12,IF($A$1="Star 4",E12,IF($A$1="Star 5",F12,0))))))</f>
        <v>48950</v>
      </c>
      <c r="C3" s="318">
        <f>IF($A$1="Licensing",B21,IF($A$1="Star 1",B21,IF($A$1="Star 2",C21,IF($A$1="Star 3",D21,IF($A$1="Star 4",E21,IF($A$1="Star 5",F21,0))))))</f>
        <v>57675.226586102719</v>
      </c>
      <c r="D3" s="318">
        <f>IF($A$1="Licensing",B39,IF($A$1="Star 1",B39,IF($A$1="Star 2",C39,IF($A$1="Star 3",D39,IF($A$1="Star 4",E39,IF($A$1="Star 5",F39,0))))))</f>
        <v>98973.734927724814</v>
      </c>
      <c r="E3" s="331">
        <f>E6*$G$4</f>
        <v>100199.37954198472</v>
      </c>
      <c r="F3" s="266"/>
      <c r="G3" s="261">
        <f>SUM(B3-B6)/B6</f>
        <v>0.4946564885496183</v>
      </c>
    </row>
    <row r="4" spans="1:13" ht="14">
      <c r="A4" s="257" t="s">
        <v>44</v>
      </c>
      <c r="B4" s="318">
        <f t="shared" si="0"/>
        <v>39160</v>
      </c>
      <c r="C4" s="318">
        <f t="shared" ref="C4:C8" si="1">IF($A$1="Licensing",B22,IF($A$1="Star 1",B22,IF($A$1="Star 2",C22,IF($A$1="Star 3",D22,IF($A$1="Star 4",E22,IF($A$1="Star 5",F22,0))))))</f>
        <v>46140.181268882181</v>
      </c>
      <c r="D4" s="318">
        <f t="shared" ref="D4:D8" si="2">IF($A$1="Licensing",B40,IF($A$1="Star 1",B40,IF($A$1="Star 2",C40,IF($A$1="Star 3",D40,IF($A$1="Star 4",E40,IF($A$1="Star 5",F40,0))))))</f>
        <v>81796.47514688001</v>
      </c>
      <c r="E4" s="331">
        <f>E6*$G$6</f>
        <v>80159.503633587781</v>
      </c>
      <c r="F4" s="266"/>
      <c r="G4" s="262">
        <f>SUM(1,G3)</f>
        <v>1.4946564885496183</v>
      </c>
    </row>
    <row r="5" spans="1:13" ht="14">
      <c r="A5" s="257" t="s">
        <v>46</v>
      </c>
      <c r="B5" s="318">
        <f t="shared" si="0"/>
        <v>40460</v>
      </c>
      <c r="C5" s="318">
        <f t="shared" si="1"/>
        <v>31200</v>
      </c>
      <c r="D5" s="318">
        <f t="shared" si="2"/>
        <v>51574.070079999998</v>
      </c>
      <c r="E5" s="458">
        <f>E8</f>
        <v>51584</v>
      </c>
      <c r="F5" s="266"/>
      <c r="G5" s="261">
        <f>SUM(B4-B6)/B6</f>
        <v>0.19572519083969467</v>
      </c>
    </row>
    <row r="6" spans="1:13" ht="14">
      <c r="A6" s="257" t="s">
        <v>37</v>
      </c>
      <c r="B6" s="318">
        <f t="shared" si="0"/>
        <v>32750</v>
      </c>
      <c r="C6" s="318">
        <f t="shared" si="1"/>
        <v>38587.613293051356</v>
      </c>
      <c r="D6" s="318">
        <f t="shared" si="2"/>
        <v>67046.291104000004</v>
      </c>
      <c r="E6" s="460">
        <f>'Child Care Center'!F20*2080</f>
        <v>67038.399999999994</v>
      </c>
      <c r="F6" s="257"/>
      <c r="G6" s="262">
        <f>SUM(1,G5)</f>
        <v>1.1957251908396946</v>
      </c>
      <c r="I6" s="11"/>
      <c r="K6" s="32"/>
      <c r="L6" s="200"/>
    </row>
    <row r="7" spans="1:13" ht="14">
      <c r="A7" s="257" t="s">
        <v>38</v>
      </c>
      <c r="B7" s="318">
        <f t="shared" si="0"/>
        <v>26480</v>
      </c>
      <c r="C7" s="318">
        <f t="shared" si="1"/>
        <v>31200</v>
      </c>
      <c r="D7" s="318">
        <f t="shared" si="2"/>
        <v>51574.070079999998</v>
      </c>
      <c r="E7" s="459">
        <f>'Child Care Center'!G20*2080</f>
        <v>51584</v>
      </c>
      <c r="F7" s="436">
        <f>'Family Child Care Home'!G17*2080</f>
        <v>31200</v>
      </c>
      <c r="K7" s="32"/>
      <c r="L7" s="199"/>
      <c r="M7" s="11"/>
    </row>
    <row r="8" spans="1:13" ht="14">
      <c r="A8" s="257" t="s">
        <v>54</v>
      </c>
      <c r="B8" s="318">
        <f t="shared" si="0"/>
        <v>26480</v>
      </c>
      <c r="C8" s="318">
        <f t="shared" si="1"/>
        <v>31200</v>
      </c>
      <c r="D8" s="318">
        <f t="shared" si="2"/>
        <v>51574.070079999998</v>
      </c>
      <c r="E8" s="332">
        <f>'Child Care Center'!H20*2080</f>
        <v>51584</v>
      </c>
      <c r="F8" s="257"/>
    </row>
    <row r="9" spans="1:13" ht="14">
      <c r="A9" s="257" t="s">
        <v>57</v>
      </c>
      <c r="B9" s="318">
        <f>IF($A$1="Star 2",C18,IF($A$1="Star 3",D18,IF($A$1="Star 4",E18,IF($A$1="Star 5",F18,B18))))</f>
        <v>45031.25</v>
      </c>
      <c r="C9" s="318">
        <f>IF($A$1="Star 2",C27,IF($A$1="Star 3",D27,IF($A$1="Star 4",E27,IF($A$1="Star 5",F27,B27))))</f>
        <v>53057.968277945612</v>
      </c>
      <c r="D9" s="318">
        <f>IF($A$1="Star 2",C45,IF($A$1="Star 3",D45,IF($A$1="Star 4",E45,IF($A$1="Star 5",F45,B45))))</f>
        <v>92188.650267999998</v>
      </c>
      <c r="E9" s="457"/>
      <c r="F9" s="436">
        <f>'Family Child Care Home'!F17*2600</f>
        <v>117000</v>
      </c>
      <c r="K9" s="32"/>
      <c r="L9" s="30"/>
    </row>
    <row r="10" spans="1:13" ht="14">
      <c r="B10" s="99"/>
      <c r="D10" s="83"/>
    </row>
    <row r="11" spans="1:13" ht="14">
      <c r="A11" s="264" t="s">
        <v>29</v>
      </c>
      <c r="B11" s="264" t="s">
        <v>2</v>
      </c>
      <c r="C11" s="264" t="s">
        <v>3</v>
      </c>
      <c r="D11" s="264" t="s">
        <v>4</v>
      </c>
      <c r="E11" s="264" t="s">
        <v>5</v>
      </c>
      <c r="F11" s="264" t="s">
        <v>6</v>
      </c>
    </row>
    <row r="12" spans="1:13" ht="14">
      <c r="A12" s="257" t="s">
        <v>43</v>
      </c>
      <c r="B12" s="186">
        <v>48950</v>
      </c>
      <c r="C12" s="186">
        <v>48950</v>
      </c>
      <c r="D12" s="186">
        <v>48950</v>
      </c>
      <c r="E12" s="186">
        <v>48950</v>
      </c>
      <c r="F12" s="186">
        <v>48950</v>
      </c>
    </row>
    <row r="13" spans="1:13" ht="14">
      <c r="A13" s="257" t="s">
        <v>44</v>
      </c>
      <c r="B13" s="186">
        <f>B12*0.8</f>
        <v>39160</v>
      </c>
      <c r="C13" s="186">
        <v>39160</v>
      </c>
      <c r="D13" s="186">
        <f t="shared" ref="D13:F13" si="3">D12*0.8</f>
        <v>39160</v>
      </c>
      <c r="E13" s="186">
        <f t="shared" si="3"/>
        <v>39160</v>
      </c>
      <c r="F13" s="186">
        <f t="shared" si="3"/>
        <v>39160</v>
      </c>
    </row>
    <row r="14" spans="1:13" ht="15" thickBot="1">
      <c r="A14" s="412" t="s">
        <v>46</v>
      </c>
      <c r="B14" s="406">
        <v>40460</v>
      </c>
      <c r="C14" s="406">
        <v>40460</v>
      </c>
      <c r="D14" s="406">
        <v>40460</v>
      </c>
      <c r="E14" s="406">
        <v>40460</v>
      </c>
      <c r="F14" s="406">
        <v>40460</v>
      </c>
    </row>
    <row r="15" spans="1:13" ht="14">
      <c r="A15" s="413" t="s">
        <v>37</v>
      </c>
      <c r="B15" s="408">
        <v>32750</v>
      </c>
      <c r="C15" s="409">
        <v>32750</v>
      </c>
      <c r="D15" s="408">
        <v>32750</v>
      </c>
      <c r="E15" s="408">
        <v>32750</v>
      </c>
      <c r="F15" s="408">
        <v>32750</v>
      </c>
    </row>
    <row r="16" spans="1:13" ht="15" thickBot="1">
      <c r="A16" s="414" t="s">
        <v>38</v>
      </c>
      <c r="B16" s="410">
        <v>26480</v>
      </c>
      <c r="C16" s="411">
        <v>26480</v>
      </c>
      <c r="D16" s="410">
        <v>26480</v>
      </c>
      <c r="E16" s="410">
        <v>26480</v>
      </c>
      <c r="F16" s="410">
        <v>26480</v>
      </c>
    </row>
    <row r="17" spans="1:10" ht="14">
      <c r="A17" s="415" t="s">
        <v>54</v>
      </c>
      <c r="B17" s="416">
        <f>B16</f>
        <v>26480</v>
      </c>
      <c r="C17" s="407">
        <v>26480</v>
      </c>
      <c r="D17" s="416">
        <f t="shared" ref="D17:F17" si="4">D16</f>
        <v>26480</v>
      </c>
      <c r="E17" s="416">
        <f t="shared" si="4"/>
        <v>26480</v>
      </c>
      <c r="F17" s="416">
        <f t="shared" si="4"/>
        <v>26480</v>
      </c>
    </row>
    <row r="18" spans="1:10" ht="14">
      <c r="A18" t="str">
        <f>A9</f>
        <v>FCC Provider/Owner</v>
      </c>
      <c r="B18" s="260">
        <f>SUM(B15/2080)*2860</f>
        <v>45031.25</v>
      </c>
      <c r="C18" s="260">
        <v>45031.25</v>
      </c>
      <c r="D18" s="260">
        <f t="shared" ref="D18:F18" si="5">SUM(D15/2080)*2860</f>
        <v>45031.25</v>
      </c>
      <c r="E18" s="260">
        <f t="shared" si="5"/>
        <v>45031.25</v>
      </c>
      <c r="F18" s="260">
        <f t="shared" si="5"/>
        <v>45031.25</v>
      </c>
      <c r="I18" s="11"/>
    </row>
    <row r="19" spans="1:10" ht="14">
      <c r="A19" s="258"/>
      <c r="B19" s="417">
        <f>15*2080</f>
        <v>31200</v>
      </c>
      <c r="C19" s="439">
        <v>31200</v>
      </c>
      <c r="D19" s="417">
        <f t="shared" ref="D19:F19" si="6">15*2080</f>
        <v>31200</v>
      </c>
      <c r="E19" s="417">
        <f t="shared" si="6"/>
        <v>31200</v>
      </c>
      <c r="F19" s="417">
        <f t="shared" si="6"/>
        <v>31200</v>
      </c>
      <c r="H19" s="11"/>
      <c r="I19" s="11"/>
      <c r="J19" s="11"/>
    </row>
    <row r="20" spans="1:10" ht="14">
      <c r="A20" s="264" t="s">
        <v>302</v>
      </c>
      <c r="B20" s="264" t="s">
        <v>2</v>
      </c>
      <c r="C20" s="264" t="s">
        <v>3</v>
      </c>
      <c r="D20" s="264" t="s">
        <v>4</v>
      </c>
      <c r="E20" s="264" t="s">
        <v>5</v>
      </c>
      <c r="F20" s="264" t="s">
        <v>6</v>
      </c>
    </row>
    <row r="21" spans="1:10" ht="14">
      <c r="A21" s="257" t="s">
        <v>43</v>
      </c>
      <c r="B21" s="418">
        <f>SUM(B25*G21,B25)</f>
        <v>57675.226586102719</v>
      </c>
      <c r="C21" s="484">
        <f t="shared" ref="C21:F27" si="7">B21</f>
        <v>57675.226586102719</v>
      </c>
      <c r="D21" s="484">
        <f t="shared" si="7"/>
        <v>57675.226586102719</v>
      </c>
      <c r="E21" s="484">
        <f t="shared" si="7"/>
        <v>57675.226586102719</v>
      </c>
      <c r="F21" s="484">
        <f t="shared" si="7"/>
        <v>57675.226586102719</v>
      </c>
      <c r="G21" s="30">
        <f>SUM(B3-B7)/B7</f>
        <v>0.84856495468277948</v>
      </c>
      <c r="H21" s="32" t="s">
        <v>303</v>
      </c>
    </row>
    <row r="22" spans="1:10" ht="14">
      <c r="A22" s="257" t="s">
        <v>44</v>
      </c>
      <c r="B22" s="418">
        <f>B21*0.8</f>
        <v>46140.181268882181</v>
      </c>
      <c r="C22" s="484">
        <f t="shared" si="7"/>
        <v>46140.181268882181</v>
      </c>
      <c r="D22" s="484">
        <f t="shared" si="7"/>
        <v>46140.181268882181</v>
      </c>
      <c r="E22" s="484">
        <f t="shared" si="7"/>
        <v>46140.181268882181</v>
      </c>
      <c r="F22" s="484">
        <f t="shared" si="7"/>
        <v>46140.181268882181</v>
      </c>
    </row>
    <row r="23" spans="1:10" ht="14">
      <c r="A23" s="257" t="s">
        <v>46</v>
      </c>
      <c r="B23" s="418">
        <f>B19</f>
        <v>31200</v>
      </c>
      <c r="C23" s="484">
        <f t="shared" si="7"/>
        <v>31200</v>
      </c>
      <c r="D23" s="484">
        <f t="shared" si="7"/>
        <v>31200</v>
      </c>
      <c r="E23" s="484">
        <f t="shared" si="7"/>
        <v>31200</v>
      </c>
      <c r="F23" s="484">
        <f t="shared" si="7"/>
        <v>31200</v>
      </c>
      <c r="G23" s="30">
        <f>SUM(B5-B7)/B7</f>
        <v>0.52794561933534745</v>
      </c>
      <c r="H23" s="32" t="s">
        <v>304</v>
      </c>
    </row>
    <row r="24" spans="1:10" ht="14">
      <c r="A24" s="419" t="s">
        <v>37</v>
      </c>
      <c r="B24" s="418">
        <f>SUM(B25*G24,B25)</f>
        <v>38587.613293051356</v>
      </c>
      <c r="C24" s="484">
        <f>B24</f>
        <v>38587.613293051356</v>
      </c>
      <c r="D24" s="484">
        <f t="shared" si="7"/>
        <v>38587.613293051356</v>
      </c>
      <c r="E24" s="484">
        <f t="shared" si="7"/>
        <v>38587.613293051356</v>
      </c>
      <c r="F24" s="484">
        <f t="shared" si="7"/>
        <v>38587.613293051356</v>
      </c>
      <c r="G24" s="30">
        <f>SUM(B6-B7)/B7</f>
        <v>0.23678247734138974</v>
      </c>
      <c r="H24" s="352" t="s">
        <v>305</v>
      </c>
      <c r="I24" s="11"/>
    </row>
    <row r="25" spans="1:10" ht="14">
      <c r="A25" s="257" t="s">
        <v>38</v>
      </c>
      <c r="B25" s="418">
        <f>B19</f>
        <v>31200</v>
      </c>
      <c r="C25" s="484">
        <f t="shared" si="7"/>
        <v>31200</v>
      </c>
      <c r="D25" s="484">
        <f t="shared" si="7"/>
        <v>31200</v>
      </c>
      <c r="E25" s="484">
        <f t="shared" si="7"/>
        <v>31200</v>
      </c>
      <c r="F25" s="484">
        <f t="shared" si="7"/>
        <v>31200</v>
      </c>
      <c r="G25" s="30">
        <f>SUM(B7-B6)/B6</f>
        <v>-0.19145038167938933</v>
      </c>
      <c r="H25" s="32" t="s">
        <v>306</v>
      </c>
    </row>
    <row r="26" spans="1:10" ht="14">
      <c r="A26" s="257" t="s">
        <v>54</v>
      </c>
      <c r="B26" s="418">
        <f>B19</f>
        <v>31200</v>
      </c>
      <c r="C26" s="484">
        <f t="shared" si="7"/>
        <v>31200</v>
      </c>
      <c r="D26" s="484">
        <f t="shared" si="7"/>
        <v>31200</v>
      </c>
      <c r="E26" s="484">
        <f t="shared" si="7"/>
        <v>31200</v>
      </c>
      <c r="F26" s="484">
        <f t="shared" si="7"/>
        <v>31200</v>
      </c>
    </row>
    <row r="27" spans="1:10" ht="14">
      <c r="A27" t="str">
        <f>A18</f>
        <v>FCC Provider/Owner</v>
      </c>
      <c r="B27" s="260">
        <f>SUM(B24/2080)*2860</f>
        <v>53057.968277945612</v>
      </c>
      <c r="C27" s="484">
        <f t="shared" si="7"/>
        <v>53057.968277945612</v>
      </c>
      <c r="D27" s="260">
        <f>SUM(D24/2080)*2860</f>
        <v>53057.968277945612</v>
      </c>
      <c r="E27" s="260">
        <f t="shared" ref="E27:F27" si="8">SUM(E24/2080)*2860</f>
        <v>53057.968277945612</v>
      </c>
      <c r="F27" s="260">
        <f t="shared" si="8"/>
        <v>53057.968277945612</v>
      </c>
      <c r="I27" s="11"/>
    </row>
    <row r="28" spans="1:10" ht="14">
      <c r="A28" s="258"/>
      <c r="B28" s="420"/>
      <c r="C28" s="322"/>
      <c r="D28" s="322"/>
      <c r="E28" s="322"/>
    </row>
    <row r="29" spans="1:10" ht="14" hidden="1">
      <c r="A29" s="264" t="s">
        <v>307</v>
      </c>
      <c r="B29" s="264" t="s">
        <v>2</v>
      </c>
      <c r="C29" s="264" t="s">
        <v>3</v>
      </c>
      <c r="D29" s="264" t="s">
        <v>4</v>
      </c>
      <c r="E29" s="264" t="s">
        <v>5</v>
      </c>
      <c r="F29" s="264" t="s">
        <v>6</v>
      </c>
    </row>
    <row r="30" spans="1:10" ht="14" hidden="1">
      <c r="A30" s="257" t="s">
        <v>43</v>
      </c>
      <c r="B30" s="421">
        <f>SUM(B34*G21,B34)</f>
        <v>73492.259541984735</v>
      </c>
      <c r="C30" s="186"/>
      <c r="D30" s="256"/>
      <c r="E30" s="256"/>
      <c r="F30" s="256"/>
    </row>
    <row r="31" spans="1:10" ht="14" hidden="1">
      <c r="A31" s="257" t="s">
        <v>44</v>
      </c>
      <c r="B31" s="418">
        <f>B30*0.8</f>
        <v>58793.807633587792</v>
      </c>
      <c r="C31" s="186"/>
      <c r="D31" s="256"/>
      <c r="E31" s="256"/>
      <c r="F31" s="256"/>
    </row>
    <row r="32" spans="1:10" ht="15" hidden="1" thickBot="1">
      <c r="A32" s="257" t="s">
        <v>46</v>
      </c>
      <c r="B32" s="421">
        <f>SUM(B34*G23,B34)</f>
        <v>60745.593893129771</v>
      </c>
      <c r="C32" s="186"/>
      <c r="D32" s="256"/>
      <c r="E32" s="256"/>
      <c r="F32" s="256"/>
    </row>
    <row r="33" spans="1:6" ht="14" hidden="1">
      <c r="A33" s="419" t="s">
        <v>37</v>
      </c>
      <c r="B33" s="422">
        <v>49170</v>
      </c>
      <c r="C33" s="186"/>
      <c r="D33" s="256"/>
      <c r="E33" s="256"/>
      <c r="F33" s="256"/>
    </row>
    <row r="34" spans="1:6" ht="14" hidden="1">
      <c r="A34" s="257" t="s">
        <v>38</v>
      </c>
      <c r="B34" s="423">
        <f>SUM((B33*G25),B33)</f>
        <v>39756.38473282443</v>
      </c>
      <c r="C34" s="186"/>
      <c r="D34" s="256"/>
      <c r="E34" s="256"/>
      <c r="F34" s="256"/>
    </row>
    <row r="35" spans="1:6" ht="14" hidden="1">
      <c r="A35" s="257" t="s">
        <v>54</v>
      </c>
      <c r="B35" s="421">
        <f>B34</f>
        <v>39756.38473282443</v>
      </c>
      <c r="C35" s="186"/>
      <c r="D35" s="186"/>
      <c r="E35" s="186"/>
      <c r="F35" s="186"/>
    </row>
    <row r="36" spans="1:6" ht="14" hidden="1">
      <c r="A36" t="str">
        <f>A18</f>
        <v>FCC Provider/Owner</v>
      </c>
      <c r="B36" s="260">
        <f>SUM(B33/2080)*2860</f>
        <v>67608.75</v>
      </c>
    </row>
    <row r="38" spans="1:6" ht="14">
      <c r="A38" s="264" t="s">
        <v>308</v>
      </c>
      <c r="B38" s="264" t="s">
        <v>2</v>
      </c>
      <c r="C38" s="264" t="s">
        <v>3</v>
      </c>
      <c r="D38" s="264" t="s">
        <v>4</v>
      </c>
      <c r="E38" s="264" t="s">
        <v>5</v>
      </c>
      <c r="F38" s="264" t="s">
        <v>6</v>
      </c>
    </row>
    <row r="39" spans="1:6" ht="14">
      <c r="A39" s="257" t="s">
        <v>43</v>
      </c>
      <c r="B39" s="418">
        <f>'Min wage'!G44</f>
        <v>98973.734927724814</v>
      </c>
      <c r="C39" s="484">
        <f t="shared" ref="C39:F44" si="9">B39</f>
        <v>98973.734927724814</v>
      </c>
      <c r="D39" s="485">
        <f t="shared" si="9"/>
        <v>98973.734927724814</v>
      </c>
      <c r="E39" s="485">
        <f t="shared" si="9"/>
        <v>98973.734927724814</v>
      </c>
      <c r="F39" s="485">
        <f t="shared" si="9"/>
        <v>98973.734927724814</v>
      </c>
    </row>
    <row r="40" spans="1:6" ht="14">
      <c r="A40" s="257" t="s">
        <v>44</v>
      </c>
      <c r="B40" s="186">
        <f>'Min wage'!G45</f>
        <v>81796.47514688001</v>
      </c>
      <c r="C40" s="484">
        <f t="shared" si="9"/>
        <v>81796.47514688001</v>
      </c>
      <c r="D40" s="485">
        <f t="shared" si="9"/>
        <v>81796.47514688001</v>
      </c>
      <c r="E40" s="485">
        <f t="shared" si="9"/>
        <v>81796.47514688001</v>
      </c>
      <c r="F40" s="485">
        <f t="shared" si="9"/>
        <v>81796.47514688001</v>
      </c>
    </row>
    <row r="41" spans="1:6" ht="14">
      <c r="A41" s="257" t="s">
        <v>46</v>
      </c>
      <c r="B41" s="186">
        <f>'Min wage'!G47</f>
        <v>51574.070079999998</v>
      </c>
      <c r="C41" s="484">
        <f t="shared" si="9"/>
        <v>51574.070079999998</v>
      </c>
      <c r="D41" s="485">
        <f t="shared" si="9"/>
        <v>51574.070079999998</v>
      </c>
      <c r="E41" s="485">
        <f t="shared" si="9"/>
        <v>51574.070079999998</v>
      </c>
      <c r="F41" s="485">
        <f t="shared" si="9"/>
        <v>51574.070079999998</v>
      </c>
    </row>
    <row r="42" spans="1:6" ht="14">
      <c r="A42" s="419" t="s">
        <v>37</v>
      </c>
      <c r="B42" s="418">
        <f>'Min wage'!G49</f>
        <v>67046.291104000004</v>
      </c>
      <c r="C42" s="484">
        <f t="shared" si="9"/>
        <v>67046.291104000004</v>
      </c>
      <c r="D42" s="485">
        <f t="shared" si="9"/>
        <v>67046.291104000004</v>
      </c>
      <c r="E42" s="485">
        <f t="shared" si="9"/>
        <v>67046.291104000004</v>
      </c>
      <c r="F42" s="485">
        <f t="shared" si="9"/>
        <v>67046.291104000004</v>
      </c>
    </row>
    <row r="43" spans="1:6" ht="14">
      <c r="A43" s="257" t="s">
        <v>38</v>
      </c>
      <c r="B43" s="418">
        <f>'Min wage'!G50</f>
        <v>51574.070079999998</v>
      </c>
      <c r="C43" s="484">
        <f t="shared" si="9"/>
        <v>51574.070079999998</v>
      </c>
      <c r="D43" s="485">
        <f t="shared" si="9"/>
        <v>51574.070079999998</v>
      </c>
      <c r="E43" s="485">
        <f t="shared" si="9"/>
        <v>51574.070079999998</v>
      </c>
      <c r="F43" s="485">
        <f t="shared" si="9"/>
        <v>51574.070079999998</v>
      </c>
    </row>
    <row r="44" spans="1:6" ht="14">
      <c r="A44" s="257" t="s">
        <v>54</v>
      </c>
      <c r="B44" s="418">
        <f>'Min wage'!G51</f>
        <v>51574.070079999998</v>
      </c>
      <c r="C44" s="484">
        <f t="shared" si="9"/>
        <v>51574.070079999998</v>
      </c>
      <c r="D44" s="485">
        <f t="shared" si="9"/>
        <v>51574.070079999998</v>
      </c>
      <c r="E44" s="485">
        <f t="shared" si="9"/>
        <v>51574.070079999998</v>
      </c>
      <c r="F44" s="485">
        <f t="shared" si="9"/>
        <v>51574.070079999998</v>
      </c>
    </row>
    <row r="45" spans="1:6" ht="25" customHeight="1">
      <c r="A45" t="str">
        <f>A36</f>
        <v>FCC Provider/Owner</v>
      </c>
      <c r="B45" s="11">
        <f>SUM(B42/2080)*2860</f>
        <v>92188.650267999998</v>
      </c>
      <c r="C45" s="486">
        <f>SUM(C42/2080)*2860</f>
        <v>92188.650267999998</v>
      </c>
      <c r="D45" s="486">
        <f>SUM(D42/2080)*2860</f>
        <v>92188.650267999998</v>
      </c>
      <c r="E45" s="486">
        <f>SUM(E42/2080)*2860</f>
        <v>92188.650267999998</v>
      </c>
      <c r="F45" s="486">
        <f>SUM(F42/2080)*2860</f>
        <v>92188.650267999998</v>
      </c>
    </row>
  </sheetData>
  <hyperlinks>
    <hyperlink ref="B1" r:id="rId1" xr:uid="{D2EACFD5-4E0E-CC48-AE36-B4952F3D32F9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F2153-DDAE-BA49-BC39-D382CDECD0A5}">
  <sheetPr codeName="Sheet5">
    <tabColor theme="0" tint="-0.14999847407452621"/>
  </sheetPr>
  <dimension ref="A1:G32"/>
  <sheetViews>
    <sheetView workbookViewId="0">
      <selection sqref="A1:F1"/>
    </sheetView>
  </sheetViews>
  <sheetFormatPr baseColWidth="10" defaultColWidth="11.5" defaultRowHeight="13"/>
  <cols>
    <col min="1" max="1" width="16.83203125" customWidth="1"/>
    <col min="3" max="3" width="13.5" customWidth="1"/>
  </cols>
  <sheetData>
    <row r="1" spans="1:7" s="115" customFormat="1">
      <c r="A1" s="114" t="s">
        <v>309</v>
      </c>
    </row>
    <row r="2" spans="1:7">
      <c r="B2" s="32" t="s">
        <v>2</v>
      </c>
      <c r="C2" s="32" t="s">
        <v>3</v>
      </c>
      <c r="D2" s="32" t="s">
        <v>4</v>
      </c>
      <c r="E2" s="2" t="s">
        <v>5</v>
      </c>
      <c r="F2" s="32" t="s">
        <v>6</v>
      </c>
      <c r="G2" s="2" t="s">
        <v>310</v>
      </c>
    </row>
    <row r="3" spans="1:7">
      <c r="A3" s="32" t="str">
        <f>'Child Care Center'!B9</f>
        <v>Infant (0-11 months)</v>
      </c>
      <c r="B3">
        <v>4</v>
      </c>
      <c r="C3">
        <f>B3</f>
        <v>4</v>
      </c>
      <c r="D3">
        <f t="shared" ref="D3:F3" si="0">C3</f>
        <v>4</v>
      </c>
      <c r="E3">
        <f t="shared" si="0"/>
        <v>4</v>
      </c>
      <c r="F3">
        <f t="shared" si="0"/>
        <v>4</v>
      </c>
      <c r="G3" s="437"/>
    </row>
    <row r="4" spans="1:7">
      <c r="A4" s="32" t="str">
        <f>'Child Care Center'!B10</f>
        <v>Toddler (12-23 months)</v>
      </c>
      <c r="B4">
        <v>6</v>
      </c>
      <c r="C4">
        <v>6</v>
      </c>
      <c r="D4">
        <v>6</v>
      </c>
      <c r="E4">
        <v>6</v>
      </c>
      <c r="F4">
        <v>6</v>
      </c>
      <c r="G4" s="437"/>
    </row>
    <row r="5" spans="1:7">
      <c r="A5" s="32" t="str">
        <f>'Child Care Center'!B11</f>
        <v>2-3 years</v>
      </c>
      <c r="B5">
        <v>8</v>
      </c>
      <c r="C5">
        <f t="shared" ref="C5:F7" si="1">B5</f>
        <v>8</v>
      </c>
      <c r="D5">
        <f t="shared" si="1"/>
        <v>8</v>
      </c>
      <c r="E5">
        <f t="shared" si="1"/>
        <v>8</v>
      </c>
      <c r="F5">
        <f t="shared" si="1"/>
        <v>8</v>
      </c>
      <c r="G5" s="437"/>
    </row>
    <row r="6" spans="1:7">
      <c r="A6" s="32" t="str">
        <f>'Child Care Center'!B12</f>
        <v>3-5 year-olds</v>
      </c>
      <c r="B6">
        <v>10</v>
      </c>
      <c r="C6">
        <f t="shared" si="1"/>
        <v>10</v>
      </c>
      <c r="D6">
        <f t="shared" si="1"/>
        <v>10</v>
      </c>
      <c r="E6">
        <f t="shared" si="1"/>
        <v>10</v>
      </c>
      <c r="F6">
        <f t="shared" si="1"/>
        <v>10</v>
      </c>
      <c r="G6" s="437"/>
    </row>
    <row r="7" spans="1:7">
      <c r="A7" s="32" t="str">
        <f>'Child Care Center'!B13</f>
        <v>School age</v>
      </c>
      <c r="B7">
        <v>20</v>
      </c>
      <c r="C7">
        <f t="shared" si="1"/>
        <v>20</v>
      </c>
      <c r="D7">
        <f t="shared" si="1"/>
        <v>20</v>
      </c>
      <c r="E7">
        <f t="shared" si="1"/>
        <v>20</v>
      </c>
      <c r="F7">
        <f t="shared" si="1"/>
        <v>20</v>
      </c>
      <c r="G7" s="437"/>
    </row>
    <row r="8" spans="1:7">
      <c r="D8" s="83"/>
      <c r="E8" s="226"/>
    </row>
    <row r="9" spans="1:7">
      <c r="A9" s="2" t="s">
        <v>311</v>
      </c>
      <c r="B9" s="32" t="str">
        <f>B2</f>
        <v>Star 1</v>
      </c>
      <c r="C9" s="32" t="str">
        <f t="shared" ref="C9:F9" si="2">C2</f>
        <v>Star 2</v>
      </c>
      <c r="D9" s="32" t="str">
        <f t="shared" si="2"/>
        <v>Star 3</v>
      </c>
      <c r="E9" s="32" t="str">
        <f t="shared" si="2"/>
        <v>Star 4</v>
      </c>
      <c r="F9" s="32" t="str">
        <f t="shared" si="2"/>
        <v>Star 5</v>
      </c>
    </row>
    <row r="10" spans="1:7">
      <c r="A10" s="32" t="str">
        <f>A3</f>
        <v>Infant (0-11 months)</v>
      </c>
      <c r="B10" s="32">
        <v>12</v>
      </c>
      <c r="C10">
        <f>B10</f>
        <v>12</v>
      </c>
      <c r="D10">
        <f t="shared" ref="D10:F10" si="3">C10</f>
        <v>12</v>
      </c>
      <c r="E10">
        <f t="shared" si="3"/>
        <v>12</v>
      </c>
      <c r="F10">
        <f t="shared" si="3"/>
        <v>12</v>
      </c>
      <c r="G10" s="437"/>
    </row>
    <row r="11" spans="1:7">
      <c r="A11" s="32" t="str">
        <f>A4</f>
        <v>Toddler (12-23 months)</v>
      </c>
      <c r="B11" s="32">
        <v>12</v>
      </c>
      <c r="C11">
        <v>12</v>
      </c>
      <c r="D11">
        <v>12</v>
      </c>
      <c r="E11">
        <v>12</v>
      </c>
      <c r="F11">
        <v>12</v>
      </c>
      <c r="G11" s="437"/>
    </row>
    <row r="12" spans="1:7">
      <c r="A12" s="32" t="str">
        <f>A5</f>
        <v>2-3 years</v>
      </c>
      <c r="B12" s="32">
        <v>16</v>
      </c>
      <c r="C12">
        <f t="shared" ref="C12:F14" si="4">B12</f>
        <v>16</v>
      </c>
      <c r="D12">
        <f t="shared" si="4"/>
        <v>16</v>
      </c>
      <c r="E12">
        <f t="shared" si="4"/>
        <v>16</v>
      </c>
      <c r="F12">
        <f t="shared" si="4"/>
        <v>16</v>
      </c>
      <c r="G12" s="437"/>
    </row>
    <row r="13" spans="1:7">
      <c r="A13" s="32" t="str">
        <f>A6</f>
        <v>3-5 year-olds</v>
      </c>
      <c r="B13" s="32">
        <v>20</v>
      </c>
      <c r="C13">
        <v>20</v>
      </c>
      <c r="D13">
        <f t="shared" si="4"/>
        <v>20</v>
      </c>
      <c r="E13">
        <f t="shared" si="4"/>
        <v>20</v>
      </c>
      <c r="F13">
        <f t="shared" si="4"/>
        <v>20</v>
      </c>
      <c r="G13" s="437"/>
    </row>
    <row r="14" spans="1:7">
      <c r="A14" s="32" t="str">
        <f>A7</f>
        <v>School age</v>
      </c>
      <c r="B14" s="32">
        <v>40</v>
      </c>
      <c r="C14">
        <f t="shared" si="4"/>
        <v>40</v>
      </c>
      <c r="D14">
        <f t="shared" si="4"/>
        <v>40</v>
      </c>
      <c r="E14">
        <f t="shared" si="4"/>
        <v>40</v>
      </c>
      <c r="F14">
        <f t="shared" si="4"/>
        <v>40</v>
      </c>
      <c r="G14" s="437"/>
    </row>
    <row r="16" spans="1:7" s="114" customFormat="1">
      <c r="A16" s="114" t="s">
        <v>312</v>
      </c>
    </row>
    <row r="17" spans="1:4" ht="48" customHeight="1">
      <c r="B17" s="198" t="s">
        <v>313</v>
      </c>
      <c r="C17" s="198" t="s">
        <v>314</v>
      </c>
      <c r="D17" s="2" t="s">
        <v>310</v>
      </c>
    </row>
    <row r="18" spans="1:4">
      <c r="A18" s="32" t="s">
        <v>315</v>
      </c>
      <c r="B18">
        <v>7</v>
      </c>
      <c r="C18">
        <v>15</v>
      </c>
      <c r="D18" s="438"/>
    </row>
    <row r="19" spans="1:4">
      <c r="A19" s="32" t="s">
        <v>316</v>
      </c>
      <c r="B19">
        <v>5</v>
      </c>
      <c r="C19">
        <v>11</v>
      </c>
      <c r="D19" s="437"/>
    </row>
    <row r="20" spans="1:4">
      <c r="A20" s="32" t="s">
        <v>234</v>
      </c>
      <c r="B20">
        <v>2</v>
      </c>
      <c r="C20">
        <v>4</v>
      </c>
      <c r="D20" s="437"/>
    </row>
    <row r="26" spans="1:4">
      <c r="C26" s="30"/>
    </row>
    <row r="27" spans="1:4">
      <c r="C27" s="30"/>
    </row>
    <row r="28" spans="1:4">
      <c r="C28" s="30"/>
    </row>
    <row r="29" spans="1:4">
      <c r="C29" s="30"/>
    </row>
    <row r="30" spans="1:4" ht="20" customHeight="1">
      <c r="B30" s="281"/>
    </row>
    <row r="32" spans="1:4" ht="24" customHeight="1">
      <c r="B32" s="28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theme="0" tint="-0.14999847407452621"/>
  </sheetPr>
  <dimension ref="A1:U61"/>
  <sheetViews>
    <sheetView workbookViewId="0">
      <selection sqref="A1:F1"/>
    </sheetView>
  </sheetViews>
  <sheetFormatPr baseColWidth="10" defaultColWidth="8.83203125" defaultRowHeight="13"/>
  <cols>
    <col min="1" max="1" width="32.1640625" customWidth="1"/>
    <col min="2" max="2" width="13.6640625" style="42" customWidth="1"/>
    <col min="3" max="3" width="11.6640625" customWidth="1"/>
    <col min="4" max="4" width="13.6640625" customWidth="1"/>
    <col min="5" max="5" width="10.5" customWidth="1"/>
    <col min="6" max="6" width="4" customWidth="1"/>
    <col min="7" max="7" width="15.83203125" customWidth="1"/>
    <col min="8" max="8" width="10.1640625" bestFit="1" customWidth="1"/>
    <col min="9" max="9" width="17.1640625" customWidth="1"/>
    <col min="10" max="10" width="10.6640625" customWidth="1"/>
    <col min="11" max="11" width="23" customWidth="1"/>
    <col min="12" max="12" width="11.5" bestFit="1" customWidth="1"/>
    <col min="13" max="15" width="10.5" bestFit="1" customWidth="1"/>
    <col min="16" max="16" width="11.5" bestFit="1" customWidth="1"/>
    <col min="17" max="19" width="10.5" bestFit="1" customWidth="1"/>
    <col min="20" max="20" width="11.5" bestFit="1" customWidth="1"/>
    <col min="21" max="21" width="10.5" bestFit="1" customWidth="1"/>
  </cols>
  <sheetData>
    <row r="1" spans="1:21" ht="29.25" customHeight="1">
      <c r="A1" s="2"/>
      <c r="B1" s="49" t="s">
        <v>317</v>
      </c>
      <c r="C1" s="50" t="s">
        <v>318</v>
      </c>
      <c r="D1" s="323" t="s">
        <v>319</v>
      </c>
      <c r="E1" s="32"/>
      <c r="F1" s="50"/>
      <c r="G1" s="466" t="s">
        <v>320</v>
      </c>
      <c r="H1" s="467" t="s">
        <v>321</v>
      </c>
      <c r="I1" s="323" t="s">
        <v>319</v>
      </c>
    </row>
    <row r="2" spans="1:21">
      <c r="A2" s="32" t="s">
        <v>322</v>
      </c>
      <c r="B2" s="43">
        <f>'Child Care Center'!C14</f>
        <v>100</v>
      </c>
      <c r="C2" s="32"/>
      <c r="D2" s="324">
        <v>8.7300000000000003E-2</v>
      </c>
      <c r="E2" s="71"/>
      <c r="F2" s="32"/>
      <c r="I2" s="324">
        <v>8.7300000000000003E-2</v>
      </c>
    </row>
    <row r="3" spans="1:21">
      <c r="A3" s="32" t="s">
        <v>150</v>
      </c>
      <c r="B3" s="251">
        <f>'Child Care Center'!F14</f>
        <v>5</v>
      </c>
      <c r="C3" s="32"/>
      <c r="D3" s="321"/>
      <c r="F3" s="32"/>
    </row>
    <row r="4" spans="1:21" ht="24" customHeight="1">
      <c r="A4" s="6" t="s">
        <v>323</v>
      </c>
      <c r="C4" s="32"/>
      <c r="D4" s="321"/>
      <c r="F4" s="32"/>
      <c r="G4" s="33" t="s">
        <v>324</v>
      </c>
      <c r="H4" s="32">
        <v>148.80000000000001</v>
      </c>
      <c r="I4" s="348">
        <f>SUM(H4,(H4*$I$2))</f>
        <v>161.79024000000001</v>
      </c>
      <c r="L4" s="172"/>
    </row>
    <row r="5" spans="1:21" s="44" customFormat="1">
      <c r="A5" s="51" t="s">
        <v>325</v>
      </c>
      <c r="B5" s="91"/>
      <c r="C5" s="84"/>
      <c r="D5" s="321"/>
      <c r="E5"/>
      <c r="F5" s="32"/>
      <c r="G5" s="32" t="s">
        <v>326</v>
      </c>
      <c r="H5" s="32">
        <v>247.99</v>
      </c>
      <c r="I5" s="348">
        <f t="shared" ref="I5:I17" si="0">SUM(H5,(H5*$I$2))</f>
        <v>269.63952699999999</v>
      </c>
      <c r="J5"/>
      <c r="K5"/>
      <c r="L5"/>
      <c r="M5"/>
      <c r="N5"/>
      <c r="O5"/>
      <c r="P5"/>
      <c r="Q5"/>
      <c r="R5"/>
      <c r="S5"/>
      <c r="T5"/>
    </row>
    <row r="6" spans="1:21">
      <c r="A6" s="90" t="s">
        <v>327</v>
      </c>
      <c r="B6" s="46">
        <f>SUM(111.1)*B2</f>
        <v>11110</v>
      </c>
      <c r="C6" s="34"/>
      <c r="D6" s="325">
        <f t="shared" ref="D6:D13" si="1">SUM(B6,(B6*$D$2))</f>
        <v>12079.903</v>
      </c>
      <c r="E6" s="202"/>
      <c r="F6" s="34"/>
      <c r="G6" s="32" t="s">
        <v>328</v>
      </c>
      <c r="H6">
        <v>297.58999999999997</v>
      </c>
      <c r="I6" s="348">
        <f t="shared" si="0"/>
        <v>323.56960699999996</v>
      </c>
    </row>
    <row r="7" spans="1:21">
      <c r="A7" s="52" t="s">
        <v>329</v>
      </c>
      <c r="B7" s="46">
        <v>4791.5</v>
      </c>
      <c r="C7" s="34" t="s">
        <v>103</v>
      </c>
      <c r="D7" s="325">
        <f t="shared" si="1"/>
        <v>5209.7979500000001</v>
      </c>
      <c r="E7" s="435"/>
      <c r="F7" s="34"/>
      <c r="G7" s="32" t="s">
        <v>330</v>
      </c>
      <c r="H7">
        <v>446.39</v>
      </c>
      <c r="I7" s="348">
        <f t="shared" si="0"/>
        <v>485.359847</v>
      </c>
    </row>
    <row r="8" spans="1:21">
      <c r="A8" s="52" t="s">
        <v>331</v>
      </c>
      <c r="B8" s="46">
        <f>SUM(117.1*B2)</f>
        <v>11710</v>
      </c>
      <c r="C8" s="34" t="s">
        <v>103</v>
      </c>
      <c r="D8" s="325">
        <f t="shared" si="1"/>
        <v>12732.282999999999</v>
      </c>
      <c r="E8" s="202"/>
      <c r="F8" s="187"/>
      <c r="G8" s="34" t="s">
        <v>332</v>
      </c>
      <c r="H8">
        <v>120</v>
      </c>
      <c r="I8" s="348">
        <f t="shared" si="0"/>
        <v>130.476</v>
      </c>
    </row>
    <row r="9" spans="1:21">
      <c r="A9" s="52" t="s">
        <v>333</v>
      </c>
      <c r="B9" s="46">
        <v>3194.3</v>
      </c>
      <c r="C9" s="34" t="s">
        <v>103</v>
      </c>
      <c r="D9" s="325">
        <f t="shared" si="1"/>
        <v>3473.1623900000004</v>
      </c>
      <c r="E9" s="202"/>
      <c r="F9" s="34"/>
      <c r="G9" s="34" t="s">
        <v>334</v>
      </c>
      <c r="H9">
        <v>595.17999999999995</v>
      </c>
      <c r="I9" s="348">
        <f t="shared" si="0"/>
        <v>647.13921399999992</v>
      </c>
    </row>
    <row r="10" spans="1:21">
      <c r="A10" s="52" t="s">
        <v>335</v>
      </c>
      <c r="B10" s="46">
        <v>532.4</v>
      </c>
      <c r="C10" s="34" t="s">
        <v>103</v>
      </c>
      <c r="D10" s="325">
        <f t="shared" si="1"/>
        <v>578.87851999999998</v>
      </c>
      <c r="E10" s="202"/>
      <c r="F10" s="34"/>
      <c r="G10" s="34" t="s">
        <v>336</v>
      </c>
      <c r="H10">
        <v>178.55</v>
      </c>
      <c r="I10" s="348">
        <f t="shared" si="0"/>
        <v>194.137415</v>
      </c>
    </row>
    <row r="11" spans="1:21">
      <c r="A11" s="52"/>
      <c r="C11" s="34"/>
      <c r="D11" s="325">
        <f t="shared" si="1"/>
        <v>0</v>
      </c>
      <c r="E11" s="202"/>
      <c r="F11" s="34"/>
      <c r="G11" s="34" t="s">
        <v>337</v>
      </c>
      <c r="H11">
        <v>238.07</v>
      </c>
      <c r="I11" s="348">
        <f t="shared" si="0"/>
        <v>258.85351099999997</v>
      </c>
    </row>
    <row r="12" spans="1:21">
      <c r="A12" s="52"/>
      <c r="B12" s="43"/>
      <c r="C12" s="34"/>
      <c r="D12" s="325">
        <f t="shared" si="1"/>
        <v>0</v>
      </c>
      <c r="E12" s="202"/>
      <c r="F12" s="34"/>
      <c r="G12" s="34" t="s">
        <v>338</v>
      </c>
      <c r="H12">
        <v>446.39</v>
      </c>
      <c r="I12" s="348">
        <f>SUM(H12,(H12*$I$2))</f>
        <v>485.359847</v>
      </c>
    </row>
    <row r="13" spans="1:21">
      <c r="A13" s="54"/>
      <c r="C13" s="32"/>
      <c r="D13" s="325">
        <f t="shared" si="1"/>
        <v>0</v>
      </c>
      <c r="E13" s="202"/>
      <c r="F13" s="32"/>
      <c r="G13" s="34" t="s">
        <v>339</v>
      </c>
      <c r="H13">
        <v>4761.46</v>
      </c>
      <c r="I13" s="348">
        <f>SUM(H13,(H13*$I$2))</f>
        <v>5177.1354579999997</v>
      </c>
    </row>
    <row r="14" spans="1:21" s="44" customFormat="1">
      <c r="D14" s="325"/>
      <c r="E14" s="202"/>
      <c r="F14"/>
      <c r="G14" s="34" t="s">
        <v>340</v>
      </c>
      <c r="H14">
        <v>892.77</v>
      </c>
      <c r="I14" s="348">
        <f t="shared" si="0"/>
        <v>970.70882099999994</v>
      </c>
      <c r="J14"/>
      <c r="K14"/>
      <c r="L14" s="32"/>
      <c r="M14" s="87"/>
      <c r="N14"/>
      <c r="O14"/>
      <c r="P14"/>
      <c r="Q14"/>
      <c r="R14"/>
      <c r="S14"/>
      <c r="T14"/>
    </row>
    <row r="15" spans="1:21">
      <c r="A15" s="51" t="s">
        <v>87</v>
      </c>
      <c r="B15" s="45"/>
      <c r="C15" s="44"/>
      <c r="D15" s="325"/>
      <c r="E15" s="32"/>
      <c r="F15" s="10"/>
      <c r="G15" s="34" t="s">
        <v>341</v>
      </c>
      <c r="H15">
        <v>250</v>
      </c>
      <c r="I15" s="348">
        <f t="shared" si="0"/>
        <v>271.82499999999999</v>
      </c>
      <c r="K15" s="32"/>
      <c r="L15" s="7"/>
      <c r="M15" s="87"/>
      <c r="N15" s="7"/>
      <c r="O15" s="7"/>
      <c r="P15" s="7"/>
      <c r="Q15" s="7"/>
      <c r="R15" s="7"/>
      <c r="S15" s="7"/>
      <c r="T15" s="7"/>
      <c r="U15" s="7"/>
    </row>
    <row r="16" spans="1:21" ht="14">
      <c r="A16" s="53" t="s">
        <v>342</v>
      </c>
      <c r="B16" s="46">
        <f>SUM(35*B2*13.2)</f>
        <v>46200</v>
      </c>
      <c r="C16" s="34" t="s">
        <v>103</v>
      </c>
      <c r="D16" s="325">
        <f t="shared" ref="D16:D29" si="2">SUM(B16,(B16*$D$2))</f>
        <v>50233.26</v>
      </c>
      <c r="E16" s="202"/>
      <c r="F16" s="19"/>
      <c r="G16" s="32" t="s">
        <v>343</v>
      </c>
      <c r="H16">
        <v>99.2</v>
      </c>
      <c r="I16" s="348">
        <f t="shared" si="0"/>
        <v>107.86016000000001</v>
      </c>
      <c r="K16" s="32"/>
      <c r="L16" s="36"/>
      <c r="M16" s="87"/>
      <c r="N16" s="36"/>
      <c r="O16" s="36"/>
      <c r="P16" s="36"/>
      <c r="Q16" s="36"/>
      <c r="R16" s="36"/>
      <c r="S16" s="36"/>
      <c r="T16" s="36"/>
      <c r="U16" s="36"/>
    </row>
    <row r="17" spans="1:21">
      <c r="A17" s="8" t="s">
        <v>344</v>
      </c>
      <c r="B17" s="46">
        <f>SUM(3,1.9)*(35*B2)</f>
        <v>17150</v>
      </c>
      <c r="C17" s="34" t="s">
        <v>103</v>
      </c>
      <c r="D17" s="325">
        <f t="shared" si="2"/>
        <v>18647.195</v>
      </c>
      <c r="E17" s="202"/>
      <c r="F17" s="188"/>
      <c r="G17" s="34" t="s">
        <v>345</v>
      </c>
      <c r="H17">
        <v>99.2</v>
      </c>
      <c r="I17" s="348">
        <f t="shared" si="0"/>
        <v>107.86016000000001</v>
      </c>
      <c r="L17" s="32"/>
      <c r="M17" s="87"/>
    </row>
    <row r="18" spans="1:21">
      <c r="A18" s="8" t="s">
        <v>346</v>
      </c>
      <c r="B18" s="46">
        <f>SUM(35*B2*3.9)</f>
        <v>13650</v>
      </c>
      <c r="C18" s="34" t="s">
        <v>103</v>
      </c>
      <c r="D18" s="325">
        <f t="shared" si="2"/>
        <v>14841.645</v>
      </c>
      <c r="E18" s="202"/>
      <c r="F18" s="34"/>
      <c r="G18" s="34" t="s">
        <v>347</v>
      </c>
      <c r="I18" s="32"/>
      <c r="L18" s="32"/>
    </row>
    <row r="19" spans="1:21" s="44" customFormat="1">
      <c r="A19" s="8"/>
      <c r="B19" s="46"/>
      <c r="C19" s="34"/>
      <c r="D19" s="325">
        <f t="shared" si="2"/>
        <v>0</v>
      </c>
      <c r="E19" s="32"/>
      <c r="F19" s="34"/>
      <c r="I19" s="32"/>
      <c r="J19"/>
      <c r="K19" s="32"/>
      <c r="L19" s="7"/>
      <c r="M19" s="7"/>
      <c r="N19" s="7"/>
      <c r="O19" s="7"/>
      <c r="P19" s="7"/>
      <c r="Q19" s="7"/>
      <c r="R19" s="7"/>
      <c r="S19" s="7"/>
      <c r="T19" s="7"/>
      <c r="U19" s="108"/>
    </row>
    <row r="20" spans="1:21">
      <c r="A20" s="51" t="s">
        <v>348</v>
      </c>
      <c r="B20" s="88"/>
      <c r="C20" s="89"/>
      <c r="D20" s="325">
        <f t="shared" si="2"/>
        <v>0</v>
      </c>
      <c r="E20" s="32"/>
      <c r="F20" s="7"/>
      <c r="G20" s="34" t="s">
        <v>349</v>
      </c>
      <c r="H20" s="34">
        <v>11903.64</v>
      </c>
      <c r="I20" s="348">
        <f t="shared" ref="I20:I24" si="3">SUM(H20,(H20*$I$2))</f>
        <v>12942.827771999999</v>
      </c>
      <c r="K20" s="32"/>
      <c r="L20" s="36"/>
      <c r="M20" s="36"/>
      <c r="N20" s="36"/>
      <c r="O20" s="36"/>
      <c r="P20" s="36"/>
      <c r="Q20" s="36"/>
      <c r="R20" s="36"/>
      <c r="S20" s="36"/>
      <c r="T20" s="36"/>
      <c r="U20" s="36"/>
    </row>
    <row r="21" spans="1:21">
      <c r="A21" s="8" t="s">
        <v>350</v>
      </c>
      <c r="B21" s="46">
        <f>SUM(1384.4,53.3)*B2</f>
        <v>143770</v>
      </c>
      <c r="C21" s="7"/>
      <c r="D21" s="325">
        <f t="shared" si="2"/>
        <v>156321.12100000001</v>
      </c>
      <c r="E21" s="202"/>
      <c r="F21" s="7"/>
      <c r="G21" s="34" t="s">
        <v>331</v>
      </c>
      <c r="H21" s="34">
        <v>669.58</v>
      </c>
      <c r="I21" s="348">
        <f t="shared" si="3"/>
        <v>728.03433400000006</v>
      </c>
      <c r="M21" s="87"/>
    </row>
    <row r="22" spans="1:21">
      <c r="A22" s="8" t="s">
        <v>351</v>
      </c>
      <c r="B22" s="46">
        <f>SUM(138.9)*B2</f>
        <v>13890</v>
      </c>
      <c r="C22" s="7"/>
      <c r="D22" s="325">
        <f t="shared" si="2"/>
        <v>15102.597</v>
      </c>
      <c r="E22" s="202"/>
      <c r="F22" s="187"/>
      <c r="G22" s="34" t="s">
        <v>352</v>
      </c>
      <c r="H22" s="34">
        <v>495.99</v>
      </c>
      <c r="I22" s="348">
        <f t="shared" si="3"/>
        <v>539.28992700000003</v>
      </c>
      <c r="M22" s="87"/>
    </row>
    <row r="23" spans="1:21">
      <c r="A23" s="8" t="s">
        <v>353</v>
      </c>
      <c r="B23" s="46">
        <f>55.6*B2</f>
        <v>5560</v>
      </c>
      <c r="C23" s="34"/>
      <c r="D23" s="325">
        <f t="shared" si="2"/>
        <v>6045.3879999999999</v>
      </c>
      <c r="E23" s="202"/>
      <c r="F23" s="34"/>
      <c r="G23" s="7" t="s">
        <v>354</v>
      </c>
      <c r="H23" s="7">
        <v>1785.55</v>
      </c>
      <c r="I23" s="348">
        <f t="shared" si="3"/>
        <v>1941.4285150000001</v>
      </c>
      <c r="K23" s="24"/>
    </row>
    <row r="24" spans="1:21">
      <c r="A24" s="8" t="s">
        <v>355</v>
      </c>
      <c r="B24" s="46">
        <f>111.1*B2</f>
        <v>11110</v>
      </c>
      <c r="C24" s="34"/>
      <c r="D24" s="325">
        <f t="shared" si="2"/>
        <v>12079.903</v>
      </c>
      <c r="E24" s="202"/>
      <c r="F24" s="34"/>
      <c r="G24" s="7" t="s">
        <v>356</v>
      </c>
      <c r="H24" s="7">
        <v>238.07</v>
      </c>
      <c r="I24" s="348">
        <f t="shared" si="3"/>
        <v>258.85351099999997</v>
      </c>
      <c r="K24" s="24"/>
    </row>
    <row r="25" spans="1:21">
      <c r="A25" s="8" t="s">
        <v>357</v>
      </c>
      <c r="B25" s="46">
        <f>24*B2</f>
        <v>2400</v>
      </c>
      <c r="C25" s="34"/>
      <c r="D25" s="325">
        <f t="shared" si="2"/>
        <v>2609.52</v>
      </c>
      <c r="E25" s="202"/>
      <c r="F25" s="34"/>
      <c r="G25" s="180" t="s">
        <v>160</v>
      </c>
      <c r="H25" s="34">
        <f>SUM(H20:H24)</f>
        <v>15092.829999999998</v>
      </c>
      <c r="I25" s="34">
        <f>SUM(I20:I24)</f>
        <v>16410.434058999999</v>
      </c>
      <c r="K25" s="24"/>
    </row>
    <row r="26" spans="1:21">
      <c r="A26" s="8" t="s">
        <v>324</v>
      </c>
      <c r="B26" s="101">
        <f>21.3*B2</f>
        <v>2130</v>
      </c>
      <c r="C26" s="34"/>
      <c r="D26" s="325">
        <f t="shared" si="2"/>
        <v>2315.9490000000001</v>
      </c>
      <c r="E26" s="202"/>
      <c r="F26" s="7"/>
    </row>
    <row r="27" spans="1:21">
      <c r="A27" s="246"/>
      <c r="B27" s="46"/>
      <c r="C27" s="7"/>
      <c r="D27" s="325">
        <f t="shared" si="2"/>
        <v>0</v>
      </c>
      <c r="F27" s="7"/>
      <c r="G27" s="173" t="s">
        <v>358</v>
      </c>
      <c r="H27" s="174">
        <v>75</v>
      </c>
      <c r="I27" s="174">
        <f>H27</f>
        <v>75</v>
      </c>
    </row>
    <row r="28" spans="1:21">
      <c r="A28" s="8"/>
      <c r="B28" s="46"/>
      <c r="C28" s="7"/>
      <c r="D28" s="325">
        <f t="shared" si="2"/>
        <v>0</v>
      </c>
      <c r="F28" s="179"/>
      <c r="G28" s="175" t="s">
        <v>359</v>
      </c>
      <c r="H28" s="176">
        <v>1200</v>
      </c>
      <c r="I28" s="174">
        <f t="shared" ref="I28:I29" si="4">H28</f>
        <v>1200</v>
      </c>
    </row>
    <row r="29" spans="1:21" s="44" customFormat="1">
      <c r="A29" s="8"/>
      <c r="B29" s="46"/>
      <c r="C29" s="34"/>
      <c r="D29" s="325">
        <f t="shared" si="2"/>
        <v>0</v>
      </c>
      <c r="E29"/>
      <c r="F29" s="34"/>
      <c r="G29" s="175" t="s">
        <v>360</v>
      </c>
      <c r="H29" s="176">
        <v>2400</v>
      </c>
      <c r="I29" s="174">
        <f t="shared" si="4"/>
        <v>2400</v>
      </c>
      <c r="J29"/>
      <c r="K29"/>
      <c r="L29"/>
      <c r="M29"/>
      <c r="N29"/>
      <c r="O29"/>
      <c r="P29"/>
      <c r="Q29"/>
      <c r="R29"/>
    </row>
    <row r="30" spans="1:21">
      <c r="A30" s="51" t="s">
        <v>361</v>
      </c>
      <c r="B30" s="45"/>
      <c r="C30" s="89"/>
      <c r="D30" s="325"/>
      <c r="F30" s="34"/>
      <c r="G30" s="177" t="s">
        <v>362</v>
      </c>
      <c r="H30" s="178">
        <f>SUM(H27/(24*7)*(H28/H29))</f>
        <v>0.22321428571428573</v>
      </c>
      <c r="I30" s="178">
        <f>SUM(I27/(24*7)*(I28/I29))</f>
        <v>0.22321428571428573</v>
      </c>
    </row>
    <row r="31" spans="1:21">
      <c r="A31" s="8" t="s">
        <v>363</v>
      </c>
      <c r="B31" s="42">
        <v>1150.0999999999999</v>
      </c>
      <c r="C31" s="34"/>
      <c r="D31" s="325">
        <f>SUM(B31,(B31*$D$2))</f>
        <v>1250.5037299999999</v>
      </c>
      <c r="E31" s="202"/>
      <c r="F31" s="34"/>
      <c r="G31" s="34"/>
      <c r="H31" s="34"/>
      <c r="I31" s="34"/>
    </row>
    <row r="32" spans="1:21">
      <c r="A32" s="8" t="s">
        <v>341</v>
      </c>
      <c r="B32" s="46">
        <f>200*'Quality Center Profile'!E12</f>
        <v>2200</v>
      </c>
      <c r="C32" s="34"/>
      <c r="D32" s="325">
        <f>SUM(B32,(B32*$D$2))</f>
        <v>2392.06</v>
      </c>
      <c r="E32" s="202"/>
      <c r="F32" s="34"/>
      <c r="G32" s="34" t="s">
        <v>364</v>
      </c>
      <c r="H32" s="34">
        <f>SUM(H4:H18)</f>
        <v>8821.590000000002</v>
      </c>
      <c r="I32" s="34">
        <f>SUM(I4:I18)</f>
        <v>9591.7148070000003</v>
      </c>
    </row>
    <row r="33" spans="1:11">
      <c r="A33" s="8"/>
      <c r="B33" s="43"/>
      <c r="C33" s="34"/>
      <c r="D33" s="325">
        <f>SUM(B33,(B33*$D$2))</f>
        <v>0</v>
      </c>
      <c r="E33" s="202"/>
      <c r="F33" s="34"/>
      <c r="G33" s="34" t="s">
        <v>365</v>
      </c>
      <c r="H33" s="34">
        <f>H25*H30</f>
        <v>3368.9352678571427</v>
      </c>
      <c r="I33" s="34">
        <f>I25*I30</f>
        <v>3663.0433167410715</v>
      </c>
    </row>
    <row r="34" spans="1:11">
      <c r="A34" s="5"/>
      <c r="B34" s="43"/>
      <c r="C34" s="34"/>
      <c r="D34" s="321"/>
      <c r="F34" s="24"/>
      <c r="G34" s="15"/>
      <c r="H34" s="15"/>
      <c r="I34" s="15"/>
    </row>
    <row r="35" spans="1:11">
      <c r="A35" s="6" t="s">
        <v>366</v>
      </c>
      <c r="B35" s="47">
        <f>SUM(B6:B33)</f>
        <v>290548.3</v>
      </c>
      <c r="C35" s="47">
        <f>SUM(B7:B10,B16:B18)</f>
        <v>97228.2</v>
      </c>
      <c r="D35" s="465">
        <f>SUM(D6:D33)</f>
        <v>315913.16659000004</v>
      </c>
      <c r="F35" s="10"/>
      <c r="G35" s="14" t="s">
        <v>129</v>
      </c>
      <c r="H35" s="10">
        <f>SUM(H32:H33)</f>
        <v>12190.525267857145</v>
      </c>
      <c r="I35" s="10">
        <f>SUM(I32:I33)</f>
        <v>13254.758123741072</v>
      </c>
    </row>
    <row r="36" spans="1:11">
      <c r="A36" s="32" t="s">
        <v>367</v>
      </c>
      <c r="B36" s="48">
        <f>B35/B3</f>
        <v>58109.659999999996</v>
      </c>
      <c r="C36" s="113">
        <f>C35/B35</f>
        <v>0.33463696053289593</v>
      </c>
      <c r="D36" s="48">
        <f>D35/B3</f>
        <v>63182.633318000007</v>
      </c>
      <c r="F36" s="10"/>
      <c r="G36" s="10"/>
      <c r="H36" s="10"/>
      <c r="I36" s="10"/>
    </row>
    <row r="37" spans="1:11" ht="14" thickBot="1">
      <c r="A37" s="32" t="s">
        <v>368</v>
      </c>
      <c r="B37" s="48">
        <f>B35/B2</f>
        <v>2905.4829999999997</v>
      </c>
      <c r="C37" s="10"/>
      <c r="D37" s="48">
        <f>D35/B2</f>
        <v>3159.1316659000004</v>
      </c>
      <c r="F37" s="32"/>
      <c r="G37" s="32"/>
      <c r="H37" s="32" t="s">
        <v>369</v>
      </c>
      <c r="I37" s="32" t="s">
        <v>368</v>
      </c>
    </row>
    <row r="38" spans="1:11" ht="15" thickTop="1" thickBot="1">
      <c r="C38" s="32"/>
      <c r="D38" s="321"/>
      <c r="E38" s="346"/>
      <c r="F38" s="32"/>
      <c r="G38" s="57" t="s">
        <v>370</v>
      </c>
      <c r="H38" s="58">
        <f>SUM((SUM(H4,H5,H6,H7,H8,H9,H10,H11,H14,H16,H17))*I2,SUM(H4,H5,H6,H7,H8,H9,H10,H11,H14,H16,H17))</f>
        <v>3657.3945019999992</v>
      </c>
      <c r="I38" s="58">
        <f>H38/6</f>
        <v>609.5657503333332</v>
      </c>
      <c r="K38" s="30"/>
    </row>
    <row r="39" spans="1:11" ht="14" thickTop="1">
      <c r="A39" s="57" t="s">
        <v>371</v>
      </c>
      <c r="B39" s="58">
        <f>SUM(B6:B10)/B2</f>
        <v>313.38200000000001</v>
      </c>
      <c r="C39" s="34">
        <f>B39*80</f>
        <v>25070.560000000001</v>
      </c>
      <c r="D39" s="326">
        <f>SUM(D6:D14)/B2</f>
        <v>340.74024859999997</v>
      </c>
      <c r="E39" s="347"/>
      <c r="F39" s="32"/>
      <c r="G39" s="59" t="s">
        <v>87</v>
      </c>
      <c r="H39" s="60">
        <f>H33</f>
        <v>3368.9352678571427</v>
      </c>
      <c r="I39" s="60">
        <f>H39/6</f>
        <v>561.48921130952374</v>
      </c>
      <c r="K39" s="30"/>
    </row>
    <row r="40" spans="1:11">
      <c r="A40" s="59" t="s">
        <v>372</v>
      </c>
      <c r="B40" s="60" cm="1">
        <f t="array" ref="B40">SUM((B16:B18)/B3)</f>
        <v>15400</v>
      </c>
      <c r="C40" s="34">
        <f>B40*4</f>
        <v>61600</v>
      </c>
      <c r="D40" s="326">
        <f>SUM(D16:D18)/B3</f>
        <v>16744.420000000002</v>
      </c>
      <c r="E40" s="347"/>
      <c r="F40" s="32"/>
      <c r="G40" s="59" t="s">
        <v>85</v>
      </c>
      <c r="H40" s="61">
        <f>SUM((SUM(H13,H12,H15))*I2,((SUM(H13,H12,H15))))</f>
        <v>5934.3203050000002</v>
      </c>
      <c r="I40" s="61">
        <f>H40/6</f>
        <v>989.05338416666666</v>
      </c>
      <c r="K40" s="30"/>
    </row>
    <row r="41" spans="1:11" ht="14" thickBot="1">
      <c r="A41" s="59" t="s">
        <v>373</v>
      </c>
      <c r="B41" s="329">
        <f>SUM(B21:B26,B32)/B2</f>
        <v>1810.6</v>
      </c>
      <c r="C41" s="34">
        <f>B41*80</f>
        <v>144848</v>
      </c>
      <c r="D41" s="326">
        <f>SUM(D21:D26,D31:D33)/B2</f>
        <v>1981.1704173000001</v>
      </c>
      <c r="E41" s="347"/>
      <c r="G41" s="62"/>
      <c r="H41" s="63" t="s">
        <v>374</v>
      </c>
      <c r="I41" s="327"/>
    </row>
    <row r="42" spans="1:11" ht="15" thickTop="1" thickBot="1">
      <c r="A42" s="62"/>
      <c r="B42" s="63" t="s">
        <v>375</v>
      </c>
      <c r="D42" s="321"/>
    </row>
    <row r="43" spans="1:11" ht="14" thickTop="1">
      <c r="A43" s="32"/>
    </row>
    <row r="44" spans="1:11">
      <c r="A44" s="32"/>
      <c r="B44" s="19"/>
      <c r="C44">
        <v>1325</v>
      </c>
    </row>
    <row r="45" spans="1:11">
      <c r="A45" s="32"/>
      <c r="B45" s="48"/>
      <c r="H45" s="24"/>
      <c r="I45" s="24"/>
    </row>
    <row r="46" spans="1:11" ht="14" thickBot="1">
      <c r="A46" s="32"/>
      <c r="B46" s="48"/>
      <c r="C46" s="32"/>
      <c r="F46" s="33"/>
      <c r="H46" s="11"/>
      <c r="I46" s="11"/>
    </row>
    <row r="47" spans="1:11" ht="14" thickBot="1">
      <c r="A47" s="32"/>
      <c r="B47" s="48"/>
      <c r="F47" s="24"/>
      <c r="G47" s="109"/>
      <c r="H47" s="112"/>
      <c r="I47" s="2"/>
    </row>
    <row r="48" spans="1:11">
      <c r="A48" s="109"/>
      <c r="B48" s="112"/>
      <c r="F48" s="24"/>
      <c r="G48" s="181"/>
      <c r="H48" s="111"/>
      <c r="I48" s="7"/>
    </row>
    <row r="49" spans="1:9">
      <c r="A49" s="110" t="s">
        <v>376</v>
      </c>
      <c r="B49" s="111">
        <f>'Child Care Center'!D32*'Child Care Center'!F32*12</f>
        <v>0</v>
      </c>
      <c r="F49" s="24"/>
      <c r="G49" s="181"/>
      <c r="H49" s="182"/>
      <c r="I49" s="328"/>
    </row>
    <row r="50" spans="1:9" ht="28" customHeight="1">
      <c r="A50" s="110" t="s">
        <v>377</v>
      </c>
      <c r="B50" s="111">
        <f>'Child Care Center'!D33*B3*12</f>
        <v>0</v>
      </c>
      <c r="G50" s="935"/>
      <c r="H50" s="936"/>
      <c r="I50" s="936"/>
    </row>
    <row r="51" spans="1:9" ht="14" thickBot="1">
      <c r="A51" s="222"/>
      <c r="B51" s="223"/>
    </row>
    <row r="52" spans="1:9">
      <c r="A52" s="32"/>
      <c r="B52" s="48"/>
    </row>
    <row r="54" spans="1:9" ht="14" thickBot="1">
      <c r="A54" s="32"/>
    </row>
    <row r="55" spans="1:9">
      <c r="A55" s="333" t="s">
        <v>378</v>
      </c>
      <c r="B55" s="334"/>
      <c r="C55" s="335"/>
      <c r="D55" s="335"/>
      <c r="E55" s="336"/>
    </row>
    <row r="56" spans="1:9">
      <c r="A56" s="337"/>
      <c r="B56" s="43" t="s">
        <v>379</v>
      </c>
      <c r="D56" s="32" t="s">
        <v>380</v>
      </c>
      <c r="E56" s="338"/>
    </row>
    <row r="57" spans="1:9">
      <c r="A57" s="337" t="s">
        <v>381</v>
      </c>
      <c r="B57" s="42">
        <v>5435</v>
      </c>
      <c r="D57" s="339" t="e">
        <f>B57/#REF!</f>
        <v>#REF!</v>
      </c>
      <c r="E57" s="338"/>
    </row>
    <row r="58" spans="1:9">
      <c r="A58" s="340"/>
      <c r="B58" s="42">
        <v>9446</v>
      </c>
      <c r="D58" s="339" t="e">
        <f>B58/#REF!</f>
        <v>#REF!</v>
      </c>
      <c r="E58" s="338"/>
    </row>
    <row r="59" spans="1:9">
      <c r="A59" s="340"/>
      <c r="B59" s="42">
        <v>8983</v>
      </c>
      <c r="D59" s="339" t="e">
        <f>B59/#REF!</f>
        <v>#REF!</v>
      </c>
      <c r="E59" s="338"/>
    </row>
    <row r="60" spans="1:9">
      <c r="A60" s="340"/>
      <c r="B60" s="42">
        <v>11222</v>
      </c>
      <c r="D60" s="339" t="e">
        <f>B60/#REF!</f>
        <v>#REF!</v>
      </c>
      <c r="E60" s="338"/>
    </row>
    <row r="61" spans="1:9" ht="14" thickBot="1">
      <c r="A61" s="341"/>
      <c r="B61" s="342">
        <f>AVERAGE(B57:B60)</f>
        <v>8771.5</v>
      </c>
      <c r="C61" s="343"/>
      <c r="D61" s="342" t="e">
        <f>AVERAGE(D57:D60)</f>
        <v>#REF!</v>
      </c>
      <c r="E61" s="214" t="e">
        <f>SUM(D61,(D61*D2))</f>
        <v>#REF!</v>
      </c>
    </row>
  </sheetData>
  <mergeCells count="1">
    <mergeCell ref="G50:I50"/>
  </mergeCells>
  <pageMargins left="0.75" right="0.75" top="1" bottom="1" header="0.5" footer="0.5"/>
  <pageSetup orientation="portrait" horizontalDpi="300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4B3B8-8733-A34A-A4B5-54990775D747}">
  <sheetPr codeName="Sheet8">
    <tabColor theme="5" tint="0.39997558519241921"/>
  </sheetPr>
  <dimension ref="A1:G31"/>
  <sheetViews>
    <sheetView workbookViewId="0">
      <selection activeCell="E35" sqref="E35"/>
    </sheetView>
  </sheetViews>
  <sheetFormatPr baseColWidth="10" defaultColWidth="11.5" defaultRowHeight="13"/>
  <cols>
    <col min="1" max="1" width="14.6640625" customWidth="1"/>
    <col min="3" max="3" width="14.1640625" customWidth="1"/>
    <col min="6" max="6" width="9.83203125" customWidth="1"/>
  </cols>
  <sheetData>
    <row r="1" spans="1:7">
      <c r="A1" s="32" t="s">
        <v>309</v>
      </c>
      <c r="B1" s="32" t="s">
        <v>382</v>
      </c>
      <c r="C1" s="32" t="s">
        <v>3</v>
      </c>
      <c r="D1" s="32" t="s">
        <v>4</v>
      </c>
      <c r="E1" s="32" t="s">
        <v>5</v>
      </c>
      <c r="F1" s="32" t="s">
        <v>6</v>
      </c>
      <c r="G1" s="21" t="s">
        <v>383</v>
      </c>
    </row>
    <row r="2" spans="1:7">
      <c r="A2" t="s">
        <v>134</v>
      </c>
      <c r="B2" s="32"/>
      <c r="C2" s="79">
        <v>0.05</v>
      </c>
      <c r="D2" s="1">
        <v>0.1</v>
      </c>
      <c r="E2" s="1">
        <v>0.15</v>
      </c>
      <c r="F2" s="1">
        <v>0.2</v>
      </c>
      <c r="G2" s="21" t="s">
        <v>384</v>
      </c>
    </row>
    <row r="3" spans="1:7">
      <c r="A3" t="s">
        <v>385</v>
      </c>
      <c r="B3" s="201">
        <f>58*5*52/12</f>
        <v>1256.6666666666667</v>
      </c>
      <c r="C3" s="201">
        <f>SUM($B3*C$2,$B3)</f>
        <v>1319.5</v>
      </c>
      <c r="D3" s="201">
        <f t="shared" ref="D3:F8" si="0">SUM($B3*D$2,$B3)</f>
        <v>1382.3333333333335</v>
      </c>
      <c r="E3" s="201">
        <f t="shared" si="0"/>
        <v>1445.1666666666667</v>
      </c>
      <c r="F3" s="201">
        <f t="shared" si="0"/>
        <v>1508</v>
      </c>
    </row>
    <row r="4" spans="1:7">
      <c r="A4" s="32" t="s">
        <v>494</v>
      </c>
      <c r="B4" s="201">
        <f>B3</f>
        <v>1256.6666666666667</v>
      </c>
      <c r="C4" s="201">
        <f t="shared" ref="C4:F4" si="1">C3</f>
        <v>1319.5</v>
      </c>
      <c r="D4" s="201">
        <f t="shared" si="1"/>
        <v>1382.3333333333335</v>
      </c>
      <c r="E4" s="201">
        <f t="shared" si="1"/>
        <v>1445.1666666666667</v>
      </c>
      <c r="F4" s="201">
        <f t="shared" si="1"/>
        <v>1508</v>
      </c>
    </row>
    <row r="5" spans="1:7">
      <c r="A5" s="32" t="s">
        <v>497</v>
      </c>
      <c r="B5" s="201">
        <f>B3</f>
        <v>1256.6666666666667</v>
      </c>
      <c r="C5" s="201">
        <f t="shared" ref="C5:C8" si="2">SUM($B5*C$2,$B5)</f>
        <v>1319.5</v>
      </c>
      <c r="D5" s="201">
        <f t="shared" si="0"/>
        <v>1382.3333333333335</v>
      </c>
      <c r="E5" s="201">
        <f t="shared" si="0"/>
        <v>1445.1666666666667</v>
      </c>
      <c r="F5" s="201">
        <f t="shared" si="0"/>
        <v>1508</v>
      </c>
      <c r="G5" s="32"/>
    </row>
    <row r="6" spans="1:7">
      <c r="A6" s="32" t="s">
        <v>235</v>
      </c>
      <c r="B6" s="201">
        <f>55*5*52/12</f>
        <v>1191.6666666666667</v>
      </c>
      <c r="C6" s="201">
        <f t="shared" si="2"/>
        <v>1251.25</v>
      </c>
      <c r="D6" s="201">
        <f t="shared" si="0"/>
        <v>1310.8333333333335</v>
      </c>
      <c r="E6" s="201">
        <f t="shared" si="0"/>
        <v>1370.4166666666667</v>
      </c>
      <c r="F6" s="201">
        <f t="shared" si="0"/>
        <v>1430</v>
      </c>
    </row>
    <row r="7" spans="1:7">
      <c r="A7" s="32" t="s">
        <v>387</v>
      </c>
      <c r="B7" s="201">
        <f>B6</f>
        <v>1191.6666666666667</v>
      </c>
      <c r="C7" s="201">
        <f t="shared" si="2"/>
        <v>1251.25</v>
      </c>
      <c r="D7" s="201">
        <f t="shared" si="0"/>
        <v>1310.8333333333335</v>
      </c>
      <c r="E7" s="201">
        <f t="shared" si="0"/>
        <v>1370.4166666666667</v>
      </c>
      <c r="F7" s="201">
        <f t="shared" si="0"/>
        <v>1430</v>
      </c>
    </row>
    <row r="8" spans="1:7">
      <c r="A8" s="32" t="s">
        <v>22</v>
      </c>
      <c r="B8" s="201">
        <f>50*5*52/12</f>
        <v>1083.3333333333333</v>
      </c>
      <c r="C8" s="201">
        <f t="shared" si="2"/>
        <v>1137.5</v>
      </c>
      <c r="D8" s="201">
        <f t="shared" si="0"/>
        <v>1191.6666666666665</v>
      </c>
      <c r="E8" s="201">
        <f t="shared" si="0"/>
        <v>1245.8333333333333</v>
      </c>
      <c r="F8" s="201">
        <f t="shared" si="0"/>
        <v>1300</v>
      </c>
      <c r="G8" s="434">
        <f>B8</f>
        <v>1083.3333333333333</v>
      </c>
    </row>
    <row r="9" spans="1:7">
      <c r="B9" s="201">
        <f>B8*0.6</f>
        <v>649.99999999999989</v>
      </c>
      <c r="C9" s="201">
        <f>C8*0.6</f>
        <v>682.5</v>
      </c>
      <c r="D9" s="201">
        <f t="shared" ref="D9:F9" si="3">D8*0.6</f>
        <v>714.99999999999989</v>
      </c>
      <c r="E9" s="201">
        <f t="shared" si="3"/>
        <v>747.49999999999989</v>
      </c>
      <c r="F9" s="201">
        <f t="shared" si="3"/>
        <v>780</v>
      </c>
    </row>
    <row r="10" spans="1:7">
      <c r="A10" s="32" t="s">
        <v>312</v>
      </c>
      <c r="C10" s="201"/>
      <c r="D10" s="201"/>
      <c r="E10" s="201"/>
      <c r="F10" s="201"/>
    </row>
    <row r="11" spans="1:7">
      <c r="A11" t="s">
        <v>134</v>
      </c>
      <c r="B11" s="32" t="str">
        <f>B1</f>
        <v>base rate</v>
      </c>
      <c r="C11" s="32" t="str">
        <f t="shared" ref="C11:F11" si="4">C1</f>
        <v>Star 2</v>
      </c>
      <c r="D11" s="32" t="str">
        <f t="shared" si="4"/>
        <v>Star 3</v>
      </c>
      <c r="E11" s="32" t="str">
        <f t="shared" si="4"/>
        <v>Star 4</v>
      </c>
      <c r="F11" s="32" t="str">
        <f t="shared" si="4"/>
        <v>Star 5</v>
      </c>
      <c r="G11" s="30"/>
    </row>
    <row r="12" spans="1:7">
      <c r="A12" t="s">
        <v>385</v>
      </c>
      <c r="B12" s="201">
        <f>45*5*52/12</f>
        <v>975</v>
      </c>
      <c r="C12" s="201">
        <f t="shared" ref="C12:F17" si="5">SUM($B12*C$2,$B12)</f>
        <v>1023.75</v>
      </c>
      <c r="D12" s="201">
        <f t="shared" si="5"/>
        <v>1072.5</v>
      </c>
      <c r="E12" s="201">
        <f t="shared" si="5"/>
        <v>1121.25</v>
      </c>
      <c r="F12" s="201">
        <f>SUM($B12*F$2,$B12)</f>
        <v>1170</v>
      </c>
      <c r="G12" s="30"/>
    </row>
    <row r="13" spans="1:7">
      <c r="A13" s="32" t="s">
        <v>494</v>
      </c>
      <c r="B13" s="201">
        <f>B12</f>
        <v>975</v>
      </c>
      <c r="C13" s="201">
        <f t="shared" ref="C13:F13" si="6">C12</f>
        <v>1023.75</v>
      </c>
      <c r="D13" s="201">
        <f t="shared" si="6"/>
        <v>1072.5</v>
      </c>
      <c r="E13" s="201">
        <f t="shared" si="6"/>
        <v>1121.25</v>
      </c>
      <c r="F13" s="201">
        <f t="shared" si="6"/>
        <v>1170</v>
      </c>
      <c r="G13" s="30"/>
    </row>
    <row r="14" spans="1:7">
      <c r="A14" s="32" t="s">
        <v>497</v>
      </c>
      <c r="B14" s="201">
        <f>B12</f>
        <v>975</v>
      </c>
      <c r="C14" s="201">
        <f t="shared" si="5"/>
        <v>1023.75</v>
      </c>
      <c r="D14" s="201">
        <f t="shared" si="5"/>
        <v>1072.5</v>
      </c>
      <c r="E14" s="201">
        <f t="shared" si="5"/>
        <v>1121.25</v>
      </c>
      <c r="F14" s="201">
        <f t="shared" si="5"/>
        <v>1170</v>
      </c>
      <c r="G14" s="30"/>
    </row>
    <row r="15" spans="1:7">
      <c r="A15" s="32" t="s">
        <v>235</v>
      </c>
      <c r="B15" s="430">
        <f>40*5*52/12</f>
        <v>866.66666666666663</v>
      </c>
      <c r="C15" s="201">
        <f t="shared" si="5"/>
        <v>910</v>
      </c>
      <c r="D15" s="201">
        <f t="shared" si="5"/>
        <v>953.33333333333326</v>
      </c>
      <c r="E15" s="201">
        <f t="shared" si="5"/>
        <v>996.66666666666663</v>
      </c>
      <c r="F15" s="201">
        <f t="shared" si="5"/>
        <v>1040</v>
      </c>
      <c r="G15" s="30"/>
    </row>
    <row r="16" spans="1:7">
      <c r="A16" s="32" t="s">
        <v>387</v>
      </c>
      <c r="B16" s="201">
        <f>B15</f>
        <v>866.66666666666663</v>
      </c>
      <c r="C16" s="201">
        <f t="shared" si="5"/>
        <v>910</v>
      </c>
      <c r="D16" s="201">
        <f t="shared" si="5"/>
        <v>953.33333333333326</v>
      </c>
      <c r="E16" s="201">
        <f t="shared" si="5"/>
        <v>996.66666666666663</v>
      </c>
      <c r="F16" s="201">
        <f t="shared" si="5"/>
        <v>1040</v>
      </c>
    </row>
    <row r="17" spans="1:6">
      <c r="A17" s="32" t="s">
        <v>22</v>
      </c>
      <c r="B17" s="201">
        <f>40*5*52/12</f>
        <v>866.66666666666663</v>
      </c>
      <c r="C17" s="201">
        <f t="shared" si="5"/>
        <v>910</v>
      </c>
      <c r="D17" s="201">
        <f t="shared" si="5"/>
        <v>953.33333333333326</v>
      </c>
      <c r="E17" s="201">
        <f t="shared" si="5"/>
        <v>996.66666666666663</v>
      </c>
      <c r="F17" s="201">
        <f t="shared" si="5"/>
        <v>1040</v>
      </c>
    </row>
    <row r="18" spans="1:6">
      <c r="B18" s="201"/>
      <c r="C18" s="201"/>
      <c r="D18" s="201"/>
      <c r="E18" s="201"/>
      <c r="F18" s="201"/>
    </row>
    <row r="19" spans="1:6">
      <c r="B19" s="201"/>
      <c r="C19" s="201"/>
      <c r="D19" s="201"/>
      <c r="E19" s="201"/>
      <c r="F19" s="201"/>
    </row>
    <row r="20" spans="1:6">
      <c r="A20" s="32" t="s">
        <v>388</v>
      </c>
      <c r="C20" s="201"/>
      <c r="D20" s="201"/>
      <c r="E20" s="201"/>
      <c r="F20" s="78" t="e">
        <f>IF(RatioOpt='Child Care Center'!D$1,'Subsidy rates'!#REF!,IF(RatioOpt='Child Care Center'!E$1,'Subsidy rates'!#REF!,IF(RatioOpt='Child Care Center'!F$1,'Subsidy rates'!#REF!,IF(RatioOpt=G$1,'Subsidy rates'!#REF!,'Subsidy rates'!#REF!))))*0.6</f>
        <v>#REF!</v>
      </c>
    </row>
    <row r="21" spans="1:6">
      <c r="A21" t="s">
        <v>134</v>
      </c>
      <c r="B21" s="32" t="str">
        <f>B11</f>
        <v>base rate</v>
      </c>
      <c r="C21" s="32" t="str">
        <f t="shared" ref="C21:F21" si="7">C11</f>
        <v>Star 2</v>
      </c>
      <c r="D21" s="32" t="str">
        <f t="shared" si="7"/>
        <v>Star 3</v>
      </c>
      <c r="E21" s="32" t="str">
        <f t="shared" si="7"/>
        <v>Star 4</v>
      </c>
      <c r="F21" s="32" t="str">
        <f t="shared" si="7"/>
        <v>Star 5</v>
      </c>
    </row>
    <row r="22" spans="1:6">
      <c r="A22" t="s">
        <v>385</v>
      </c>
      <c r="B22" s="201">
        <f>48*5*52/12</f>
        <v>1040</v>
      </c>
      <c r="C22" s="201">
        <f t="shared" ref="C22:F27" si="8">SUM($B22*C$2,$B22)</f>
        <v>1092</v>
      </c>
      <c r="D22" s="201">
        <f t="shared" si="8"/>
        <v>1144</v>
      </c>
      <c r="E22" s="201">
        <f t="shared" si="8"/>
        <v>1196</v>
      </c>
      <c r="F22" s="201">
        <f>SUM($B22*F$2,$B22)</f>
        <v>1248</v>
      </c>
    </row>
    <row r="23" spans="1:6">
      <c r="A23" s="32" t="s">
        <v>494</v>
      </c>
      <c r="B23" s="201">
        <f>B22</f>
        <v>1040</v>
      </c>
      <c r="C23" s="201">
        <f t="shared" ref="C23:F23" si="9">C22</f>
        <v>1092</v>
      </c>
      <c r="D23" s="201">
        <f t="shared" si="9"/>
        <v>1144</v>
      </c>
      <c r="E23" s="201">
        <f t="shared" si="9"/>
        <v>1196</v>
      </c>
      <c r="F23" s="201">
        <f t="shared" si="9"/>
        <v>1248</v>
      </c>
    </row>
    <row r="24" spans="1:6">
      <c r="A24" s="32" t="s">
        <v>386</v>
      </c>
      <c r="B24" s="201">
        <f>B22</f>
        <v>1040</v>
      </c>
      <c r="C24" s="201">
        <f t="shared" si="8"/>
        <v>1092</v>
      </c>
      <c r="D24" s="201">
        <f t="shared" si="8"/>
        <v>1144</v>
      </c>
      <c r="E24" s="201">
        <f t="shared" si="8"/>
        <v>1196</v>
      </c>
      <c r="F24" s="201">
        <f t="shared" si="8"/>
        <v>1248</v>
      </c>
    </row>
    <row r="25" spans="1:6">
      <c r="A25" s="32" t="s">
        <v>235</v>
      </c>
      <c r="B25" s="201">
        <f>45*5*52/12</f>
        <v>975</v>
      </c>
      <c r="C25" s="201">
        <f t="shared" si="8"/>
        <v>1023.75</v>
      </c>
      <c r="D25" s="201">
        <f t="shared" si="8"/>
        <v>1072.5</v>
      </c>
      <c r="E25" s="201">
        <f t="shared" si="8"/>
        <v>1121.25</v>
      </c>
      <c r="F25" s="201">
        <f t="shared" si="8"/>
        <v>1170</v>
      </c>
    </row>
    <row r="26" spans="1:6">
      <c r="A26" s="32" t="s">
        <v>387</v>
      </c>
      <c r="B26" s="201">
        <f>B25</f>
        <v>975</v>
      </c>
      <c r="C26" s="201">
        <f t="shared" si="8"/>
        <v>1023.75</v>
      </c>
      <c r="D26" s="201">
        <f t="shared" si="8"/>
        <v>1072.5</v>
      </c>
      <c r="E26" s="201">
        <f t="shared" si="8"/>
        <v>1121.25</v>
      </c>
      <c r="F26" s="201">
        <f t="shared" si="8"/>
        <v>1170</v>
      </c>
    </row>
    <row r="27" spans="1:6">
      <c r="A27" s="32" t="s">
        <v>22</v>
      </c>
      <c r="B27" s="201">
        <f>45*5*52/12</f>
        <v>975</v>
      </c>
      <c r="C27" s="201">
        <f t="shared" si="8"/>
        <v>1023.75</v>
      </c>
      <c r="D27" s="201">
        <f t="shared" si="8"/>
        <v>1072.5</v>
      </c>
      <c r="E27" s="201">
        <f t="shared" si="8"/>
        <v>1121.25</v>
      </c>
      <c r="F27" s="201">
        <f t="shared" si="8"/>
        <v>1170</v>
      </c>
    </row>
    <row r="28" spans="1:6">
      <c r="C28" s="16"/>
      <c r="D28" s="16"/>
      <c r="E28" s="16"/>
    </row>
    <row r="31" spans="1:6">
      <c r="B31" s="32"/>
    </row>
  </sheetData>
  <hyperlinks>
    <hyperlink ref="G1" r:id="rId1" xr:uid="{BEA25917-ACE2-FE4A-B371-DEB70555B1E3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3FB41-35D5-654B-B1A9-9E12B554D5AB}">
  <sheetPr codeName="Sheet10">
    <tabColor theme="5" tint="0.39997558519241921"/>
  </sheetPr>
  <dimension ref="A1:T61"/>
  <sheetViews>
    <sheetView workbookViewId="0">
      <selection sqref="A1:F1"/>
    </sheetView>
  </sheetViews>
  <sheetFormatPr baseColWidth="10" defaultColWidth="8.83203125" defaultRowHeight="13"/>
  <cols>
    <col min="1" max="1" width="13.83203125" style="116" customWidth="1"/>
    <col min="2" max="2" width="8.83203125" style="116"/>
    <col min="3" max="3" width="9.6640625" style="116" customWidth="1"/>
    <col min="4" max="16384" width="8.83203125" style="116"/>
  </cols>
  <sheetData>
    <row r="1" spans="1:20">
      <c r="A1" s="562" t="s">
        <v>389</v>
      </c>
      <c r="B1" s="562"/>
      <c r="C1" s="562"/>
      <c r="D1" s="562"/>
      <c r="E1" s="562"/>
      <c r="F1" s="21" t="s">
        <v>390</v>
      </c>
      <c r="G1" s="562"/>
      <c r="H1" s="562"/>
      <c r="I1" s="562"/>
      <c r="J1" s="562"/>
      <c r="K1" s="562"/>
      <c r="L1" s="563" t="s">
        <v>391</v>
      </c>
    </row>
    <row r="2" spans="1:20">
      <c r="A2" s="562" t="s">
        <v>392</v>
      </c>
      <c r="B2" s="562"/>
      <c r="C2" s="562"/>
      <c r="D2" s="562"/>
      <c r="E2" s="562"/>
      <c r="F2" s="562"/>
      <c r="G2" s="562"/>
      <c r="H2" s="562"/>
      <c r="I2" s="562"/>
      <c r="J2" s="562"/>
      <c r="K2" s="562"/>
      <c r="L2" s="562"/>
    </row>
    <row r="3" spans="1:20" ht="25.75" customHeight="1">
      <c r="A3" s="562" t="s">
        <v>393</v>
      </c>
      <c r="B3" s="562"/>
      <c r="C3" s="562"/>
      <c r="D3" s="562"/>
      <c r="E3" s="562"/>
      <c r="F3" s="562"/>
      <c r="G3" s="562"/>
      <c r="H3" s="562"/>
      <c r="I3" s="562"/>
      <c r="J3" s="562"/>
      <c r="K3" s="562"/>
      <c r="L3" s="562"/>
    </row>
    <row r="4" spans="1:20">
      <c r="A4" s="125" t="s">
        <v>394</v>
      </c>
      <c r="H4" s="228"/>
      <c r="I4" s="229" t="s">
        <v>395</v>
      </c>
    </row>
    <row r="5" spans="1:20" ht="28">
      <c r="A5" s="124" t="s">
        <v>396</v>
      </c>
      <c r="D5" s="155" t="s">
        <v>397</v>
      </c>
      <c r="E5" s="230" t="s">
        <v>398</v>
      </c>
      <c r="F5" s="155" t="s">
        <v>399</v>
      </c>
      <c r="H5" s="124" t="s">
        <v>400</v>
      </c>
      <c r="J5" s="116" t="s">
        <v>401</v>
      </c>
      <c r="L5" s="116" t="s">
        <v>402</v>
      </c>
      <c r="R5" s="155"/>
      <c r="S5" s="230"/>
      <c r="T5" s="155"/>
    </row>
    <row r="6" spans="1:20">
      <c r="A6" s="116" t="s">
        <v>403</v>
      </c>
      <c r="B6" s="116" t="s">
        <v>404</v>
      </c>
      <c r="D6" s="143">
        <v>0.38</v>
      </c>
      <c r="E6" s="143">
        <v>0.4</v>
      </c>
      <c r="F6" s="143">
        <v>0.1</v>
      </c>
      <c r="H6" s="143">
        <f>SUM(D6,E6,2*F6)</f>
        <v>0.98</v>
      </c>
      <c r="J6" s="231">
        <f>5*H6</f>
        <v>4.9000000000000004</v>
      </c>
      <c r="L6" s="143">
        <f>D6+(2*F6)</f>
        <v>0.58000000000000007</v>
      </c>
    </row>
    <row r="7" spans="1:20">
      <c r="A7" s="116" t="s">
        <v>405</v>
      </c>
      <c r="B7" s="116" t="s">
        <v>406</v>
      </c>
      <c r="D7" s="143">
        <v>1.98</v>
      </c>
      <c r="E7" s="143">
        <v>3.85</v>
      </c>
      <c r="F7" s="143">
        <v>0.57999999999999996</v>
      </c>
      <c r="H7" s="143">
        <f>SUM(D7,E7,2*F7)</f>
        <v>6.99</v>
      </c>
      <c r="J7" s="231">
        <f>5*H7</f>
        <v>34.950000000000003</v>
      </c>
      <c r="L7" s="143">
        <f>D7+(2*F7)</f>
        <v>3.1399999999999997</v>
      </c>
      <c r="O7" s="143"/>
    </row>
    <row r="8" spans="1:20">
      <c r="A8" s="116" t="s">
        <v>407</v>
      </c>
      <c r="B8" s="116" t="s">
        <v>408</v>
      </c>
      <c r="D8" s="143">
        <v>2.2799999999999998</v>
      </c>
      <c r="E8" s="143">
        <v>4.25</v>
      </c>
      <c r="F8" s="143">
        <v>1.17</v>
      </c>
      <c r="H8" s="143">
        <f>SUM(D8,E8,2*F8)</f>
        <v>8.8699999999999992</v>
      </c>
      <c r="J8" s="231">
        <f>5*H8</f>
        <v>44.349999999999994</v>
      </c>
      <c r="L8" s="143">
        <f>D8+(2*F8)</f>
        <v>4.6199999999999992</v>
      </c>
      <c r="O8" s="143"/>
    </row>
    <row r="9" spans="1:20">
      <c r="D9" s="143"/>
      <c r="E9" s="143"/>
      <c r="F9" s="143"/>
      <c r="I9" s="116" t="s">
        <v>409</v>
      </c>
      <c r="J9" s="143">
        <f>AVERAGE(J6:J8)</f>
        <v>28.066666666666663</v>
      </c>
    </row>
    <row r="10" spans="1:20">
      <c r="H10" s="229" t="s">
        <v>410</v>
      </c>
    </row>
    <row r="12" spans="1:20">
      <c r="A12" s="125" t="s">
        <v>411</v>
      </c>
    </row>
    <row r="13" spans="1:20" ht="28">
      <c r="B13" s="155" t="s">
        <v>397</v>
      </c>
      <c r="C13" s="230" t="s">
        <v>398</v>
      </c>
      <c r="D13" s="155" t="s">
        <v>399</v>
      </c>
      <c r="E13" s="116" t="s">
        <v>412</v>
      </c>
      <c r="F13" s="116" t="s">
        <v>119</v>
      </c>
    </row>
    <row r="14" spans="1:20">
      <c r="A14" s="116" t="s">
        <v>413</v>
      </c>
      <c r="B14" s="143">
        <v>1.65</v>
      </c>
      <c r="C14" s="143">
        <v>3.12</v>
      </c>
      <c r="D14" s="143">
        <v>0.93</v>
      </c>
      <c r="E14" s="143">
        <f>SUM(B14,C14,D14*2)</f>
        <v>6.63</v>
      </c>
      <c r="F14" s="143">
        <f>E14*5</f>
        <v>33.15</v>
      </c>
      <c r="H14" s="116" t="s">
        <v>405</v>
      </c>
    </row>
    <row r="15" spans="1:20">
      <c r="A15" s="116" t="s">
        <v>414</v>
      </c>
      <c r="B15" s="143">
        <v>0.59</v>
      </c>
      <c r="C15" s="143">
        <v>1.88</v>
      </c>
      <c r="D15" s="143">
        <v>0.25</v>
      </c>
      <c r="E15" s="143">
        <f>SUM(B15,C15,D15*2)</f>
        <v>2.9699999999999998</v>
      </c>
      <c r="F15" s="143">
        <f>E15*5</f>
        <v>14.849999999999998</v>
      </c>
      <c r="H15" s="116" t="s">
        <v>403</v>
      </c>
    </row>
    <row r="18" spans="2:10">
      <c r="B18" s="125"/>
      <c r="H18" s="229"/>
    </row>
    <row r="19" spans="2:10">
      <c r="D19" s="155"/>
      <c r="E19" s="230"/>
      <c r="F19" s="155"/>
      <c r="H19" s="124"/>
    </row>
    <row r="20" spans="2:10">
      <c r="D20" s="141"/>
      <c r="E20" s="141"/>
      <c r="F20" s="141"/>
      <c r="H20" s="143"/>
      <c r="J20" s="143"/>
    </row>
    <row r="21" spans="2:10">
      <c r="D21" s="141"/>
      <c r="E21" s="141"/>
      <c r="F21" s="141"/>
      <c r="H21" s="143"/>
      <c r="J21" s="143"/>
    </row>
    <row r="23" spans="2:10">
      <c r="B23" s="128"/>
      <c r="C23" s="128"/>
      <c r="D23" s="128"/>
    </row>
    <row r="24" spans="2:10">
      <c r="B24" s="128"/>
      <c r="C24" s="128"/>
      <c r="D24" s="128"/>
    </row>
    <row r="25" spans="2:10">
      <c r="B25" s="128"/>
      <c r="C25" s="128"/>
      <c r="D25" s="128"/>
    </row>
    <row r="26" spans="2:10">
      <c r="B26" s="128"/>
      <c r="C26" s="128"/>
      <c r="D26" s="128"/>
    </row>
    <row r="27" spans="2:10">
      <c r="B27" s="128"/>
    </row>
    <row r="33" spans="2:8">
      <c r="B33" s="279"/>
      <c r="C33" s="128"/>
      <c r="D33" s="128"/>
    </row>
    <row r="34" spans="2:8">
      <c r="B34" s="279"/>
      <c r="C34" s="128"/>
      <c r="D34" s="128"/>
    </row>
    <row r="35" spans="2:8">
      <c r="B35" s="279"/>
      <c r="C35" s="128"/>
      <c r="D35" s="128"/>
    </row>
    <row r="36" spans="2:8">
      <c r="B36" s="279"/>
      <c r="C36" s="128"/>
      <c r="D36" s="128"/>
    </row>
    <row r="37" spans="2:8">
      <c r="B37" s="279"/>
    </row>
    <row r="42" spans="2:8">
      <c r="B42" s="279"/>
      <c r="C42" s="128"/>
      <c r="D42" s="128"/>
      <c r="F42" s="128"/>
      <c r="G42" s="128"/>
      <c r="H42" s="128"/>
    </row>
    <row r="43" spans="2:8">
      <c r="B43" s="279"/>
      <c r="C43" s="128"/>
      <c r="D43" s="128"/>
      <c r="F43" s="128"/>
      <c r="G43" s="128"/>
      <c r="H43" s="128"/>
    </row>
    <row r="44" spans="2:8">
      <c r="B44" s="279"/>
      <c r="C44" s="128"/>
      <c r="D44" s="128"/>
      <c r="F44" s="128"/>
      <c r="G44" s="128"/>
      <c r="H44" s="128"/>
    </row>
    <row r="45" spans="2:8">
      <c r="B45" s="279"/>
      <c r="C45" s="128"/>
      <c r="D45" s="128"/>
      <c r="F45" s="128"/>
      <c r="G45" s="128"/>
      <c r="H45" s="128"/>
    </row>
    <row r="49" spans="1:8">
      <c r="A49" s="32"/>
      <c r="B49" s="32"/>
      <c r="C49" s="32"/>
      <c r="D49" s="32"/>
    </row>
    <row r="50" spans="1:8">
      <c r="A50" s="32"/>
      <c r="B50" s="279"/>
      <c r="C50" s="14"/>
      <c r="D50" s="14"/>
      <c r="F50" s="14"/>
      <c r="G50" s="14"/>
      <c r="H50" s="14"/>
    </row>
    <row r="51" spans="1:8">
      <c r="A51" s="32"/>
      <c r="B51" s="279"/>
      <c r="C51" s="14"/>
      <c r="D51" s="14"/>
      <c r="F51" s="14"/>
      <c r="G51" s="14"/>
      <c r="H51" s="14"/>
    </row>
    <row r="52" spans="1:8">
      <c r="A52" s="32"/>
      <c r="B52" s="279"/>
      <c r="C52" s="14"/>
      <c r="D52" s="14"/>
      <c r="F52" s="14"/>
      <c r="G52" s="14"/>
      <c r="H52" s="14"/>
    </row>
    <row r="53" spans="1:8">
      <c r="A53" s="32"/>
      <c r="B53" s="279"/>
      <c r="C53" s="14"/>
      <c r="D53" s="14"/>
      <c r="F53" s="14"/>
      <c r="G53" s="14"/>
      <c r="H53" s="14"/>
    </row>
    <row r="57" spans="1:8">
      <c r="A57" s="32"/>
      <c r="B57" s="32"/>
      <c r="C57" s="32"/>
      <c r="D57" s="32"/>
    </row>
    <row r="58" spans="1:8">
      <c r="A58" s="32"/>
      <c r="B58" s="279"/>
      <c r="C58" s="14"/>
      <c r="D58" s="14"/>
    </row>
    <row r="59" spans="1:8">
      <c r="A59" s="32"/>
      <c r="B59" s="279"/>
      <c r="C59" s="14"/>
      <c r="D59" s="14"/>
    </row>
    <row r="60" spans="1:8">
      <c r="A60" s="32"/>
      <c r="B60" s="279"/>
      <c r="C60" s="14"/>
      <c r="D60" s="14"/>
    </row>
    <row r="61" spans="1:8">
      <c r="A61" s="32"/>
      <c r="B61" s="279"/>
      <c r="C61" s="14"/>
      <c r="D61" s="14"/>
    </row>
  </sheetData>
  <hyperlinks>
    <hyperlink ref="F1" r:id="rId1" xr:uid="{002CD163-6E11-8749-97E6-25978BA7017B}"/>
  </hyperlinks>
  <pageMargins left="0.75" right="0.75" top="1" bottom="1" header="0.5" footer="0.5"/>
  <pageSetup orientation="portrait" horizontalDpi="4294967293" verticalDpi="0" r:id="rId2"/>
  <headerFooter alignWithMargins="0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9BAE2-C174-7647-BB84-A29793566872}">
  <dimension ref="A1:S66"/>
  <sheetViews>
    <sheetView workbookViewId="0">
      <selection sqref="A1:F1"/>
    </sheetView>
  </sheetViews>
  <sheetFormatPr baseColWidth="10" defaultColWidth="11" defaultRowHeight="16"/>
  <cols>
    <col min="1" max="1" width="24" style="353" customWidth="1"/>
    <col min="2" max="2" width="15" style="353" customWidth="1"/>
    <col min="3" max="3" width="11.5" style="353" customWidth="1"/>
    <col min="4" max="4" width="13.1640625" style="353" customWidth="1"/>
    <col min="5" max="5" width="9.5" style="353" customWidth="1"/>
    <col min="6" max="6" width="13.1640625" style="353" customWidth="1"/>
    <col min="7" max="8" width="11" style="353"/>
    <col min="9" max="11" width="11.5" style="353" bestFit="1" customWidth="1"/>
    <col min="12" max="16384" width="11" style="353"/>
  </cols>
  <sheetData>
    <row r="1" spans="1:19" ht="16" customHeight="1">
      <c r="A1" s="937" t="s">
        <v>415</v>
      </c>
      <c r="B1" s="937"/>
      <c r="C1" s="937"/>
      <c r="D1" s="937"/>
      <c r="E1" s="937"/>
      <c r="F1" s="937"/>
    </row>
    <row r="2" spans="1:19">
      <c r="A2" s="354"/>
      <c r="B2" s="354"/>
      <c r="C2" s="354"/>
      <c r="D2" s="354"/>
      <c r="E2" s="354"/>
      <c r="F2" s="354"/>
    </row>
    <row r="3" spans="1:19">
      <c r="A3" s="355" t="s">
        <v>416</v>
      </c>
      <c r="D3" s="353" t="s">
        <v>308</v>
      </c>
      <c r="H3" s="353" t="s">
        <v>417</v>
      </c>
    </row>
    <row r="4" spans="1:19">
      <c r="A4" s="353" t="s">
        <v>418</v>
      </c>
      <c r="B4" s="353" t="s">
        <v>419</v>
      </c>
      <c r="C4" s="353" t="s">
        <v>420</v>
      </c>
      <c r="D4" s="353" t="s">
        <v>421</v>
      </c>
      <c r="E4" s="353" t="s">
        <v>422</v>
      </c>
      <c r="F4" s="353" t="s">
        <v>423</v>
      </c>
      <c r="H4" s="356"/>
      <c r="I4" s="938" t="s">
        <v>424</v>
      </c>
      <c r="J4" s="938"/>
      <c r="K4" s="938"/>
      <c r="L4" s="938" t="s">
        <v>425</v>
      </c>
      <c r="M4" s="938"/>
      <c r="N4" s="938"/>
      <c r="O4" s="938"/>
    </row>
    <row r="5" spans="1:19">
      <c r="A5" s="353" t="s">
        <v>426</v>
      </c>
      <c r="B5" s="357">
        <f>L6</f>
        <v>0.16320000000000001</v>
      </c>
      <c r="C5" s="358">
        <v>15.72</v>
      </c>
      <c r="D5" s="359">
        <f>C5*B5</f>
        <v>2.5655040000000002</v>
      </c>
      <c r="E5" s="360"/>
      <c r="F5" s="360"/>
      <c r="H5" s="356"/>
      <c r="I5" s="356" t="s">
        <v>427</v>
      </c>
      <c r="J5" s="356" t="s">
        <v>428</v>
      </c>
      <c r="K5" s="356" t="s">
        <v>429</v>
      </c>
      <c r="L5" s="356" t="s">
        <v>427</v>
      </c>
      <c r="M5" s="356" t="s">
        <v>430</v>
      </c>
      <c r="N5" s="356" t="s">
        <v>429</v>
      </c>
      <c r="O5" s="356"/>
    </row>
    <row r="6" spans="1:19">
      <c r="A6" s="353" t="s">
        <v>431</v>
      </c>
      <c r="B6" s="357">
        <f>M6</f>
        <v>6.7199999999999996E-2</v>
      </c>
      <c r="C6" s="358">
        <v>34.29</v>
      </c>
      <c r="D6" s="359">
        <f t="shared" ref="D6:D10" si="0">C6*B6</f>
        <v>2.3042879999999997</v>
      </c>
      <c r="E6" s="360"/>
      <c r="F6" s="360"/>
      <c r="H6" s="356" t="s">
        <v>312</v>
      </c>
      <c r="I6" s="361">
        <f>I13*P13</f>
        <v>0.25159999999999999</v>
      </c>
      <c r="J6" s="361">
        <f>I13*Q13</f>
        <v>0.17</v>
      </c>
      <c r="K6" s="361">
        <f>I13*R13</f>
        <v>0.25840000000000002</v>
      </c>
      <c r="L6" s="361">
        <f>J13*L13</f>
        <v>0.16320000000000001</v>
      </c>
      <c r="M6" s="361">
        <f>J13*M13</f>
        <v>6.7199999999999996E-2</v>
      </c>
      <c r="N6" s="361">
        <f>J13*N13</f>
        <v>8.9600000000000013E-2</v>
      </c>
      <c r="O6" s="361">
        <f>SUM(M6:N6)</f>
        <v>0.15679999999999999</v>
      </c>
    </row>
    <row r="7" spans="1:19">
      <c r="A7" s="353" t="s">
        <v>432</v>
      </c>
      <c r="B7" s="357">
        <f>N6</f>
        <v>8.9600000000000013E-2</v>
      </c>
      <c r="C7" s="358">
        <v>44.83</v>
      </c>
      <c r="D7" s="359">
        <f t="shared" si="0"/>
        <v>4.0167680000000008</v>
      </c>
      <c r="E7" s="360"/>
      <c r="F7" s="360"/>
      <c r="H7" s="356" t="s">
        <v>43</v>
      </c>
      <c r="I7" s="361">
        <f>I14*P14</f>
        <v>0.31979999999999997</v>
      </c>
      <c r="J7" s="361">
        <f>I14*Q14</f>
        <v>0.1794</v>
      </c>
      <c r="K7" s="361">
        <f>I14*R14</f>
        <v>0.28079999999999999</v>
      </c>
      <c r="L7" s="361">
        <f>J14*L14</f>
        <v>0.10339999999999999</v>
      </c>
      <c r="M7" s="361">
        <f>J14*M14</f>
        <v>3.5200000000000002E-2</v>
      </c>
      <c r="N7" s="361">
        <f>J14*N14</f>
        <v>8.14E-2</v>
      </c>
      <c r="O7" s="361">
        <f>SUM(M7:N7)</f>
        <v>0.11660000000000001</v>
      </c>
    </row>
    <row r="8" spans="1:19">
      <c r="A8" s="353" t="s">
        <v>433</v>
      </c>
      <c r="B8" s="357">
        <f>I6</f>
        <v>0.25159999999999999</v>
      </c>
      <c r="C8" s="358">
        <v>12.97</v>
      </c>
      <c r="D8" s="359">
        <f t="shared" si="0"/>
        <v>3.263252</v>
      </c>
      <c r="E8" s="360"/>
      <c r="F8" s="360"/>
      <c r="H8" s="356" t="s">
        <v>434</v>
      </c>
      <c r="I8" s="361">
        <f>I15*P15</f>
        <v>0.12809999999999999</v>
      </c>
      <c r="J8" s="361">
        <f>I15*Q15</f>
        <v>0.24399999999999999</v>
      </c>
      <c r="K8" s="361">
        <f>I15*R15</f>
        <v>0.2379</v>
      </c>
      <c r="L8" s="361">
        <f>J15*L15</f>
        <v>0.17550000000000002</v>
      </c>
      <c r="M8" s="361">
        <f>J15*M15</f>
        <v>7.8000000000000014E-2</v>
      </c>
      <c r="N8" s="361">
        <f>J15*N15</f>
        <v>0.13650000000000001</v>
      </c>
      <c r="O8" s="361">
        <f>SUM(M8:N8)</f>
        <v>0.21450000000000002</v>
      </c>
    </row>
    <row r="9" spans="1:19">
      <c r="A9" s="353" t="s">
        <v>435</v>
      </c>
      <c r="B9" s="357">
        <f>J6</f>
        <v>0.17</v>
      </c>
      <c r="C9" s="358">
        <v>19.18</v>
      </c>
      <c r="D9" s="359">
        <f t="shared" si="0"/>
        <v>3.2606000000000002</v>
      </c>
      <c r="E9" s="360"/>
      <c r="F9" s="360"/>
      <c r="H9" s="356" t="s">
        <v>436</v>
      </c>
      <c r="I9" s="361">
        <f>I16*P16</f>
        <v>0.22569999999999998</v>
      </c>
      <c r="J9" s="361">
        <f>I16*Q16</f>
        <v>0.16470000000000001</v>
      </c>
      <c r="K9" s="361">
        <f>I16*R16</f>
        <v>0.21959999999999999</v>
      </c>
      <c r="L9" s="361">
        <f>J16*L16</f>
        <v>0.11309999999999999</v>
      </c>
      <c r="M9" s="361">
        <f>J16*M16</f>
        <v>8.5800000000000001E-2</v>
      </c>
      <c r="N9" s="361">
        <f>J16*N16</f>
        <v>0.19109999999999999</v>
      </c>
      <c r="O9" s="361">
        <f>SUM(M9:N9)</f>
        <v>0.27689999999999998</v>
      </c>
    </row>
    <row r="10" spans="1:19" ht="17" thickBot="1">
      <c r="A10" s="353" t="s">
        <v>437</v>
      </c>
      <c r="B10" s="357">
        <f>K6</f>
        <v>0.25840000000000002</v>
      </c>
      <c r="C10" s="358">
        <v>24.69</v>
      </c>
      <c r="D10" s="359">
        <f t="shared" si="0"/>
        <v>6.3798960000000005</v>
      </c>
      <c r="E10" s="360"/>
      <c r="F10" s="360"/>
    </row>
    <row r="11" spans="1:19" ht="36" customHeight="1" thickBot="1">
      <c r="B11" s="362">
        <f>SUM(B5:B10)</f>
        <v>1</v>
      </c>
      <c r="C11" s="363"/>
      <c r="D11" s="364">
        <f>SUM(D5:D10)</f>
        <v>21.790308000000003</v>
      </c>
      <c r="E11" s="360"/>
      <c r="F11" s="360"/>
      <c r="H11" s="353" t="s">
        <v>438</v>
      </c>
    </row>
    <row r="12" spans="1:19">
      <c r="I12" s="353" t="s">
        <v>424</v>
      </c>
      <c r="J12" s="353" t="s">
        <v>425</v>
      </c>
      <c r="L12" s="353" t="s">
        <v>439</v>
      </c>
      <c r="M12" s="353" t="s">
        <v>440</v>
      </c>
      <c r="N12" s="353" t="s">
        <v>441</v>
      </c>
      <c r="P12" s="353" t="s">
        <v>442</v>
      </c>
      <c r="Q12" s="353" t="s">
        <v>443</v>
      </c>
      <c r="R12" s="353" t="s">
        <v>444</v>
      </c>
    </row>
    <row r="13" spans="1:19">
      <c r="A13" s="355" t="s">
        <v>445</v>
      </c>
      <c r="H13" s="356" t="s">
        <v>312</v>
      </c>
      <c r="I13" s="365">
        <v>0.68</v>
      </c>
      <c r="J13" s="365">
        <v>0.32</v>
      </c>
      <c r="L13" s="366">
        <v>0.51</v>
      </c>
      <c r="M13" s="366">
        <v>0.21</v>
      </c>
      <c r="N13" s="366">
        <v>0.28000000000000003</v>
      </c>
      <c r="O13" s="362">
        <f>SUM(L13:N13)</f>
        <v>1</v>
      </c>
      <c r="P13" s="366">
        <v>0.37</v>
      </c>
      <c r="Q13" s="366">
        <v>0.25</v>
      </c>
      <c r="R13" s="366">
        <v>0.38</v>
      </c>
      <c r="S13" s="362">
        <f>SUM(P13:R13)</f>
        <v>1</v>
      </c>
    </row>
    <row r="14" spans="1:19">
      <c r="A14" s="353" t="s">
        <v>418</v>
      </c>
      <c r="B14" s="353" t="s">
        <v>419</v>
      </c>
      <c r="C14" s="353" t="s">
        <v>420</v>
      </c>
      <c r="D14" s="353" t="s">
        <v>421</v>
      </c>
      <c r="E14" s="353" t="s">
        <v>446</v>
      </c>
      <c r="F14" s="353" t="s">
        <v>447</v>
      </c>
      <c r="H14" s="356" t="s">
        <v>445</v>
      </c>
      <c r="I14" s="365">
        <v>0.78</v>
      </c>
      <c r="J14" s="365">
        <v>0.22</v>
      </c>
      <c r="L14" s="366">
        <v>0.47</v>
      </c>
      <c r="M14" s="366">
        <v>0.16</v>
      </c>
      <c r="N14" s="366">
        <f>0.14+0.23</f>
        <v>0.37</v>
      </c>
      <c r="O14" s="362">
        <f>SUM(L14:N14)</f>
        <v>1</v>
      </c>
      <c r="P14" s="366">
        <v>0.41</v>
      </c>
      <c r="Q14" s="366">
        <v>0.23</v>
      </c>
      <c r="R14" s="366">
        <v>0.36</v>
      </c>
      <c r="S14" s="362">
        <f t="shared" ref="S14:S16" si="1">SUM(P14:R14)</f>
        <v>1</v>
      </c>
    </row>
    <row r="15" spans="1:19">
      <c r="A15" s="353" t="s">
        <v>426</v>
      </c>
      <c r="B15" s="357">
        <f>L7</f>
        <v>0.10339999999999999</v>
      </c>
      <c r="C15" s="358">
        <f>C5</f>
        <v>15.72</v>
      </c>
      <c r="D15" s="359">
        <f t="shared" ref="D15:D20" si="2">C15*B15</f>
        <v>1.625448</v>
      </c>
      <c r="E15" s="360"/>
      <c r="F15" s="360"/>
      <c r="H15" s="356" t="s">
        <v>149</v>
      </c>
      <c r="I15" s="365">
        <v>0.61</v>
      </c>
      <c r="J15" s="365">
        <v>0.39</v>
      </c>
      <c r="L15" s="366">
        <v>0.45</v>
      </c>
      <c r="M15" s="366">
        <v>0.2</v>
      </c>
      <c r="N15" s="366">
        <f>0.07+0.28</f>
        <v>0.35000000000000003</v>
      </c>
      <c r="O15" s="362">
        <f>SUM(L15:N15)</f>
        <v>1</v>
      </c>
      <c r="P15" s="366">
        <v>0.21</v>
      </c>
      <c r="Q15" s="366">
        <v>0.4</v>
      </c>
      <c r="R15" s="366">
        <v>0.39</v>
      </c>
      <c r="S15" s="362">
        <f t="shared" si="1"/>
        <v>1</v>
      </c>
    </row>
    <row r="16" spans="1:19">
      <c r="A16" s="353" t="s">
        <v>431</v>
      </c>
      <c r="B16" s="357">
        <f>M7</f>
        <v>3.5200000000000002E-2</v>
      </c>
      <c r="C16" s="358">
        <f t="shared" ref="C16:C20" si="3">C6</f>
        <v>34.29</v>
      </c>
      <c r="D16" s="359">
        <f t="shared" si="2"/>
        <v>1.2070080000000001</v>
      </c>
      <c r="E16" s="360"/>
      <c r="F16" s="360"/>
      <c r="H16" s="356" t="s">
        <v>436</v>
      </c>
      <c r="I16" s="365">
        <v>0.61</v>
      </c>
      <c r="J16" s="365">
        <v>0.39</v>
      </c>
      <c r="L16" s="366">
        <v>0.28999999999999998</v>
      </c>
      <c r="M16" s="366">
        <v>0.22</v>
      </c>
      <c r="N16" s="366">
        <f>0.23+0.26</f>
        <v>0.49</v>
      </c>
      <c r="O16" s="362">
        <f>SUM(L16:N16)</f>
        <v>1</v>
      </c>
      <c r="P16" s="366">
        <v>0.37</v>
      </c>
      <c r="Q16" s="366">
        <v>0.27</v>
      </c>
      <c r="R16" s="366">
        <v>0.36</v>
      </c>
      <c r="S16" s="362">
        <f t="shared" si="1"/>
        <v>1</v>
      </c>
    </row>
    <row r="17" spans="1:18">
      <c r="A17" s="353" t="s">
        <v>432</v>
      </c>
      <c r="B17" s="357">
        <f>N7</f>
        <v>8.14E-2</v>
      </c>
      <c r="C17" s="358">
        <f t="shared" si="3"/>
        <v>44.83</v>
      </c>
      <c r="D17" s="359">
        <f t="shared" si="2"/>
        <v>3.649162</v>
      </c>
      <c r="E17" s="360"/>
      <c r="F17" s="360"/>
    </row>
    <row r="18" spans="1:18">
      <c r="A18" s="353" t="s">
        <v>433</v>
      </c>
      <c r="B18" s="357">
        <f>I7</f>
        <v>0.31979999999999997</v>
      </c>
      <c r="C18" s="358">
        <f t="shared" si="3"/>
        <v>12.97</v>
      </c>
      <c r="D18" s="359">
        <f t="shared" si="2"/>
        <v>4.1478060000000001</v>
      </c>
      <c r="E18" s="360"/>
      <c r="F18" s="360"/>
    </row>
    <row r="19" spans="1:18">
      <c r="A19" s="353" t="s">
        <v>435</v>
      </c>
      <c r="B19" s="357">
        <f>J7</f>
        <v>0.1794</v>
      </c>
      <c r="C19" s="358">
        <f t="shared" si="3"/>
        <v>19.18</v>
      </c>
      <c r="D19" s="359">
        <f t="shared" si="2"/>
        <v>3.4408919999999998</v>
      </c>
      <c r="E19" s="360"/>
      <c r="F19" s="360"/>
      <c r="H19" s="353" t="s">
        <v>448</v>
      </c>
      <c r="I19" s="355" t="s">
        <v>449</v>
      </c>
    </row>
    <row r="20" spans="1:18" ht="17" thickBot="1">
      <c r="A20" s="353" t="s">
        <v>437</v>
      </c>
      <c r="B20" s="357">
        <f>K7</f>
        <v>0.28079999999999999</v>
      </c>
      <c r="C20" s="358">
        <f t="shared" si="3"/>
        <v>24.69</v>
      </c>
      <c r="D20" s="359">
        <f t="shared" si="2"/>
        <v>6.9329520000000002</v>
      </c>
      <c r="E20" s="360"/>
      <c r="F20" s="360"/>
      <c r="I20" s="353" t="s">
        <v>450</v>
      </c>
      <c r="J20" s="353" t="s">
        <v>451</v>
      </c>
    </row>
    <row r="21" spans="1:18" ht="17" thickBot="1">
      <c r="B21" s="362">
        <f>SUM(B15:B20)</f>
        <v>1</v>
      </c>
      <c r="C21" s="363"/>
      <c r="D21" s="364">
        <f>SUM(D15:D20)</f>
        <v>21.003267999999998</v>
      </c>
      <c r="E21" s="360"/>
      <c r="F21" s="360"/>
      <c r="H21" s="353" t="s">
        <v>452</v>
      </c>
      <c r="I21" s="367">
        <f>78*P14</f>
        <v>31.979999999999997</v>
      </c>
      <c r="J21" s="367">
        <f>22*L14</f>
        <v>10.34</v>
      </c>
      <c r="K21" s="368"/>
      <c r="L21" s="368"/>
      <c r="M21" s="368"/>
      <c r="N21" s="368"/>
      <c r="O21" s="368"/>
      <c r="P21" s="368"/>
      <c r="Q21" s="368"/>
      <c r="R21" s="368"/>
    </row>
    <row r="22" spans="1:18">
      <c r="A22" s="355" t="s">
        <v>149</v>
      </c>
      <c r="B22" s="357"/>
      <c r="C22" s="369"/>
      <c r="D22" s="370"/>
      <c r="E22" s="370"/>
      <c r="F22" s="370"/>
      <c r="H22" s="353" t="s">
        <v>428</v>
      </c>
      <c r="I22" s="367">
        <f>78*Q14</f>
        <v>17.940000000000001</v>
      </c>
      <c r="J22" s="367">
        <f>22*M14</f>
        <v>3.52</v>
      </c>
      <c r="K22" s="368"/>
      <c r="L22" s="368"/>
      <c r="M22" s="368"/>
      <c r="N22" s="368"/>
      <c r="O22" s="368"/>
      <c r="P22" s="368"/>
      <c r="Q22" s="368"/>
      <c r="R22" s="368"/>
    </row>
    <row r="23" spans="1:18">
      <c r="A23" s="353" t="s">
        <v>418</v>
      </c>
      <c r="B23" s="353" t="s">
        <v>419</v>
      </c>
      <c r="C23" s="353" t="s">
        <v>420</v>
      </c>
      <c r="D23" s="353" t="s">
        <v>421</v>
      </c>
      <c r="E23" s="353" t="s">
        <v>422</v>
      </c>
      <c r="F23" s="353" t="s">
        <v>423</v>
      </c>
      <c r="H23" s="353" t="s">
        <v>453</v>
      </c>
      <c r="I23" s="367">
        <f>78*R14</f>
        <v>28.08</v>
      </c>
      <c r="J23" s="367">
        <f>22*N14</f>
        <v>8.14</v>
      </c>
      <c r="K23" s="368"/>
      <c r="L23" s="368"/>
      <c r="M23" s="368"/>
      <c r="N23" s="368"/>
      <c r="O23" s="368"/>
      <c r="P23" s="368"/>
      <c r="Q23" s="368"/>
      <c r="R23" s="368"/>
    </row>
    <row r="24" spans="1:18">
      <c r="A24" s="353" t="s">
        <v>426</v>
      </c>
      <c r="B24" s="357">
        <f>L8</f>
        <v>0.17550000000000002</v>
      </c>
      <c r="C24" s="358">
        <f>C15</f>
        <v>15.72</v>
      </c>
      <c r="D24" s="359">
        <f t="shared" ref="D24:D29" si="4">C24*B24</f>
        <v>2.7588600000000003</v>
      </c>
      <c r="E24" s="360"/>
      <c r="F24" s="360"/>
      <c r="I24" s="367">
        <f>SUM(I21:I23)</f>
        <v>78</v>
      </c>
      <c r="J24" s="367">
        <f>SUM(J21:J23)</f>
        <v>22</v>
      </c>
      <c r="K24" s="368"/>
      <c r="L24" s="368"/>
      <c r="M24" s="368"/>
      <c r="N24" s="368"/>
      <c r="O24" s="368"/>
      <c r="P24" s="368"/>
      <c r="Q24" s="368"/>
      <c r="R24" s="368"/>
    </row>
    <row r="25" spans="1:18">
      <c r="A25" s="353" t="s">
        <v>431</v>
      </c>
      <c r="B25" s="357">
        <f>M8</f>
        <v>7.8000000000000014E-2</v>
      </c>
      <c r="C25" s="358">
        <f t="shared" ref="C25:C29" si="5">C16</f>
        <v>34.29</v>
      </c>
      <c r="D25" s="359">
        <f t="shared" si="4"/>
        <v>2.6746200000000004</v>
      </c>
      <c r="E25" s="360"/>
      <c r="F25" s="360"/>
      <c r="I25" s="368"/>
      <c r="J25" s="368"/>
      <c r="K25" s="368"/>
      <c r="L25" s="368"/>
      <c r="M25" s="368"/>
      <c r="N25" s="368"/>
      <c r="O25" s="368"/>
      <c r="P25" s="368"/>
      <c r="Q25" s="368"/>
      <c r="R25" s="368"/>
    </row>
    <row r="26" spans="1:18">
      <c r="A26" s="353" t="s">
        <v>432</v>
      </c>
      <c r="B26" s="357">
        <f>N8</f>
        <v>0.13650000000000001</v>
      </c>
      <c r="C26" s="358">
        <f t="shared" si="5"/>
        <v>44.83</v>
      </c>
      <c r="D26" s="359">
        <f t="shared" si="4"/>
        <v>6.1192950000000002</v>
      </c>
      <c r="E26" s="360"/>
      <c r="F26" s="360"/>
      <c r="I26" s="368"/>
      <c r="J26" s="368"/>
      <c r="K26" s="368"/>
      <c r="L26" s="368"/>
      <c r="M26" s="368"/>
      <c r="N26" s="368"/>
      <c r="O26" s="368"/>
      <c r="P26" s="368"/>
      <c r="Q26" s="368"/>
      <c r="R26" s="368"/>
    </row>
    <row r="27" spans="1:18">
      <c r="A27" s="353" t="s">
        <v>433</v>
      </c>
      <c r="B27" s="357">
        <f>I8</f>
        <v>0.12809999999999999</v>
      </c>
      <c r="C27" s="358">
        <f t="shared" si="5"/>
        <v>12.97</v>
      </c>
      <c r="D27" s="359">
        <f t="shared" si="4"/>
        <v>1.661457</v>
      </c>
      <c r="E27" s="360"/>
      <c r="F27" s="360"/>
      <c r="H27" s="353" t="s">
        <v>454</v>
      </c>
      <c r="I27" s="368"/>
      <c r="J27" s="368"/>
      <c r="K27" s="368"/>
      <c r="L27" s="368"/>
      <c r="M27" s="368"/>
      <c r="N27" s="368"/>
      <c r="O27" s="368"/>
      <c r="P27" s="368"/>
      <c r="Q27" s="368"/>
      <c r="R27" s="368"/>
    </row>
    <row r="28" spans="1:18">
      <c r="A28" s="353" t="s">
        <v>435</v>
      </c>
      <c r="B28" s="357">
        <f>J8</f>
        <v>0.24399999999999999</v>
      </c>
      <c r="C28" s="358">
        <f t="shared" si="5"/>
        <v>19.18</v>
      </c>
      <c r="D28" s="359">
        <f t="shared" si="4"/>
        <v>4.6799200000000001</v>
      </c>
      <c r="E28" s="360"/>
      <c r="F28" s="360"/>
      <c r="H28" s="353" t="s">
        <v>431</v>
      </c>
      <c r="I28" s="368" t="s">
        <v>455</v>
      </c>
      <c r="J28" s="368"/>
      <c r="K28" s="368"/>
      <c r="L28" s="368"/>
      <c r="M28" s="368"/>
      <c r="N28" s="368"/>
      <c r="O28" s="368"/>
      <c r="P28" s="368"/>
      <c r="Q28" s="368"/>
      <c r="R28" s="368"/>
    </row>
    <row r="29" spans="1:18" ht="17" thickBot="1">
      <c r="A29" s="353" t="s">
        <v>437</v>
      </c>
      <c r="B29" s="357">
        <f>K8</f>
        <v>0.2379</v>
      </c>
      <c r="C29" s="358">
        <f t="shared" si="5"/>
        <v>24.69</v>
      </c>
      <c r="D29" s="359">
        <f t="shared" si="4"/>
        <v>5.8737510000000004</v>
      </c>
      <c r="E29" s="360"/>
      <c r="F29" s="360"/>
      <c r="H29" s="353" t="s">
        <v>432</v>
      </c>
      <c r="I29" s="353" t="s">
        <v>456</v>
      </c>
    </row>
    <row r="30" spans="1:18" ht="17" thickBot="1">
      <c r="B30" s="362">
        <f>SUM(B24:B29)</f>
        <v>1</v>
      </c>
      <c r="C30" s="363"/>
      <c r="D30" s="364">
        <f>SUM(D24:D29)</f>
        <v>23.767903000000004</v>
      </c>
      <c r="E30" s="360"/>
      <c r="F30" s="360"/>
      <c r="H30" s="353" t="s">
        <v>457</v>
      </c>
      <c r="I30" s="353" t="s">
        <v>458</v>
      </c>
    </row>
    <row r="31" spans="1:18">
      <c r="B31" s="357"/>
      <c r="H31" s="353" t="s">
        <v>459</v>
      </c>
      <c r="I31" s="368" t="s">
        <v>460</v>
      </c>
    </row>
    <row r="32" spans="1:18">
      <c r="A32" s="355" t="s">
        <v>461</v>
      </c>
      <c r="B32" s="357"/>
      <c r="C32" s="369"/>
      <c r="D32" s="370"/>
      <c r="E32" s="370"/>
      <c r="F32" s="370"/>
    </row>
    <row r="33" spans="1:11">
      <c r="A33" s="353" t="s">
        <v>418</v>
      </c>
      <c r="B33" s="353" t="s">
        <v>419</v>
      </c>
      <c r="C33" s="353" t="s">
        <v>420</v>
      </c>
      <c r="D33" s="353" t="s">
        <v>421</v>
      </c>
      <c r="E33" s="353" t="s">
        <v>422</v>
      </c>
      <c r="F33" s="353" t="s">
        <v>423</v>
      </c>
    </row>
    <row r="34" spans="1:11">
      <c r="A34" s="353" t="s">
        <v>426</v>
      </c>
      <c r="B34" s="357">
        <f>L9</f>
        <v>0.11309999999999999</v>
      </c>
      <c r="C34" s="358">
        <f>C24</f>
        <v>15.72</v>
      </c>
      <c r="D34" s="359">
        <f t="shared" ref="D34:D39" si="6">C34*B34</f>
        <v>1.7779319999999998</v>
      </c>
      <c r="E34" s="360"/>
      <c r="F34" s="360"/>
    </row>
    <row r="35" spans="1:11">
      <c r="A35" s="353" t="s">
        <v>431</v>
      </c>
      <c r="B35" s="357">
        <f>M9</f>
        <v>8.5800000000000001E-2</v>
      </c>
      <c r="C35" s="358">
        <f t="shared" ref="C35:C39" si="7">C25</f>
        <v>34.29</v>
      </c>
      <c r="D35" s="359">
        <f t="shared" si="6"/>
        <v>2.9420820000000001</v>
      </c>
      <c r="E35" s="360"/>
      <c r="F35" s="360"/>
    </row>
    <row r="36" spans="1:11">
      <c r="A36" s="353" t="s">
        <v>432</v>
      </c>
      <c r="B36" s="357">
        <f>N9</f>
        <v>0.19109999999999999</v>
      </c>
      <c r="C36" s="358">
        <f t="shared" si="7"/>
        <v>44.83</v>
      </c>
      <c r="D36" s="359">
        <f t="shared" si="6"/>
        <v>8.5670129999999993</v>
      </c>
      <c r="E36" s="360"/>
      <c r="F36" s="360"/>
    </row>
    <row r="37" spans="1:11" ht="16" customHeight="1">
      <c r="A37" s="353" t="s">
        <v>433</v>
      </c>
      <c r="B37" s="357">
        <f>I9</f>
        <v>0.22569999999999998</v>
      </c>
      <c r="C37" s="358">
        <f t="shared" si="7"/>
        <v>12.97</v>
      </c>
      <c r="D37" s="359">
        <f t="shared" si="6"/>
        <v>2.9273289999999998</v>
      </c>
      <c r="E37" s="360"/>
      <c r="F37" s="360"/>
      <c r="G37" s="939" t="s">
        <v>462</v>
      </c>
      <c r="H37" s="941" t="s">
        <v>463</v>
      </c>
      <c r="I37" s="943"/>
      <c r="K37" s="941"/>
    </row>
    <row r="38" spans="1:11" ht="16" customHeight="1">
      <c r="A38" s="353" t="s">
        <v>435</v>
      </c>
      <c r="B38" s="357">
        <f>J9</f>
        <v>0.16470000000000001</v>
      </c>
      <c r="C38" s="358">
        <f t="shared" si="7"/>
        <v>19.18</v>
      </c>
      <c r="D38" s="359">
        <f t="shared" si="6"/>
        <v>3.1589460000000003</v>
      </c>
      <c r="E38" s="360"/>
      <c r="F38" s="360"/>
      <c r="G38" s="939"/>
      <c r="H38" s="941"/>
      <c r="I38" s="943"/>
      <c r="K38" s="941"/>
    </row>
    <row r="39" spans="1:11" ht="17" customHeight="1" thickBot="1">
      <c r="A39" s="353" t="s">
        <v>437</v>
      </c>
      <c r="B39" s="357">
        <f>K9</f>
        <v>0.21959999999999999</v>
      </c>
      <c r="C39" s="358">
        <f t="shared" si="7"/>
        <v>24.69</v>
      </c>
      <c r="D39" s="359">
        <f t="shared" si="6"/>
        <v>5.4219239999999997</v>
      </c>
      <c r="E39" s="360"/>
      <c r="F39" s="360"/>
      <c r="G39" s="939"/>
      <c r="H39" s="941"/>
      <c r="I39" s="943"/>
      <c r="K39" s="941"/>
    </row>
    <row r="40" spans="1:11" ht="17" thickBot="1">
      <c r="B40" s="362">
        <f>SUM(B34:B39)</f>
        <v>1</v>
      </c>
      <c r="C40" s="363"/>
      <c r="D40" s="364">
        <f>SUM(D34:D39)</f>
        <v>24.795226</v>
      </c>
      <c r="E40" s="360"/>
      <c r="F40" s="360"/>
      <c r="G40" s="939"/>
      <c r="H40" s="941"/>
      <c r="I40" s="943"/>
      <c r="K40" s="941"/>
    </row>
    <row r="41" spans="1:11" ht="16" customHeight="1">
      <c r="B41" s="362"/>
      <c r="D41" s="370"/>
      <c r="E41" s="370"/>
      <c r="F41" s="370"/>
      <c r="G41" s="939"/>
      <c r="H41" s="941"/>
      <c r="I41" s="943"/>
      <c r="K41" s="941"/>
    </row>
    <row r="42" spans="1:11">
      <c r="B42" s="357"/>
      <c r="G42" s="940"/>
      <c r="H42" s="942"/>
      <c r="I42" s="944"/>
      <c r="K42" s="942"/>
    </row>
    <row r="43" spans="1:11" ht="29">
      <c r="A43" s="371"/>
      <c r="B43" s="371"/>
      <c r="C43" s="372"/>
      <c r="D43" s="372"/>
      <c r="E43" s="372"/>
      <c r="F43" s="373"/>
      <c r="G43" s="374" t="s">
        <v>464</v>
      </c>
      <c r="H43" s="374" t="s">
        <v>465</v>
      </c>
      <c r="I43" s="375"/>
      <c r="K43" s="376"/>
    </row>
    <row r="44" spans="1:11">
      <c r="A44" s="377" t="s">
        <v>43</v>
      </c>
      <c r="B44" s="378" t="s">
        <v>466</v>
      </c>
      <c r="C44" s="379"/>
      <c r="D44" s="379"/>
      <c r="E44" s="379"/>
      <c r="F44" s="380"/>
      <c r="G44" s="381">
        <f>G45*1.21</f>
        <v>98973.734927724814</v>
      </c>
      <c r="H44" s="381">
        <f>H45*1.21</f>
        <v>62748.656256000002</v>
      </c>
      <c r="I44" s="382"/>
      <c r="K44" s="383"/>
    </row>
    <row r="45" spans="1:11" ht="29">
      <c r="A45" s="377" t="s">
        <v>467</v>
      </c>
      <c r="B45" s="384" t="s">
        <v>468</v>
      </c>
      <c r="C45" s="379"/>
      <c r="D45" s="379"/>
      <c r="E45" s="379"/>
      <c r="F45" s="380"/>
      <c r="G45" s="381">
        <f>G49*1.22</f>
        <v>81796.47514688001</v>
      </c>
      <c r="H45" s="381">
        <f>H49*1.22</f>
        <v>51858.393600000003</v>
      </c>
      <c r="I45" s="382"/>
      <c r="K45" s="383"/>
    </row>
    <row r="46" spans="1:11">
      <c r="A46" s="377" t="s">
        <v>469</v>
      </c>
      <c r="B46" s="385"/>
      <c r="C46" s="379"/>
      <c r="D46" s="379"/>
      <c r="E46" s="379"/>
      <c r="F46" s="380"/>
      <c r="G46" s="381"/>
      <c r="H46" s="381"/>
      <c r="I46" s="382"/>
      <c r="K46" s="383"/>
    </row>
    <row r="47" spans="1:11">
      <c r="A47" s="377" t="s">
        <v>470</v>
      </c>
      <c r="B47" s="378" t="s">
        <v>471</v>
      </c>
      <c r="C47" s="379"/>
      <c r="D47" s="379"/>
      <c r="E47" s="379"/>
      <c r="F47" s="380"/>
      <c r="G47" s="381">
        <f>G50</f>
        <v>51574.070079999998</v>
      </c>
      <c r="H47" s="381">
        <f>H50</f>
        <v>32697.600000000002</v>
      </c>
      <c r="I47" s="382"/>
      <c r="K47" s="383"/>
    </row>
    <row r="48" spans="1:11">
      <c r="A48" s="377"/>
      <c r="B48" s="385"/>
      <c r="C48" s="379"/>
      <c r="D48" s="379"/>
      <c r="E48" s="379"/>
      <c r="F48" s="380"/>
      <c r="G48" s="381"/>
      <c r="H48" s="381"/>
      <c r="I48" s="382"/>
      <c r="K48" s="383"/>
    </row>
    <row r="49" spans="1:11">
      <c r="A49" s="377" t="s">
        <v>37</v>
      </c>
      <c r="B49" s="385" t="s">
        <v>472</v>
      </c>
      <c r="C49" s="379"/>
      <c r="D49" s="379"/>
      <c r="E49" s="379"/>
      <c r="F49" s="380"/>
      <c r="G49" s="381">
        <f>G50*1.3</f>
        <v>67046.291104000004</v>
      </c>
      <c r="H49" s="381">
        <f>H50*1.3</f>
        <v>42506.880000000005</v>
      </c>
      <c r="I49" s="382"/>
      <c r="K49" s="383"/>
    </row>
    <row r="50" spans="1:11">
      <c r="A50" s="377" t="s">
        <v>473</v>
      </c>
      <c r="B50" s="385" t="s">
        <v>474</v>
      </c>
      <c r="C50" s="379"/>
      <c r="D50" s="379"/>
      <c r="E50" s="379"/>
      <c r="F50" s="380"/>
      <c r="G50" s="381">
        <f>D40*2080</f>
        <v>51574.070079999998</v>
      </c>
      <c r="H50" s="381">
        <f>C34*2080</f>
        <v>32697.600000000002</v>
      </c>
      <c r="I50" s="382"/>
      <c r="K50" s="383"/>
    </row>
    <row r="51" spans="1:11">
      <c r="A51" s="377" t="s">
        <v>475</v>
      </c>
      <c r="B51" s="385"/>
      <c r="C51" s="379"/>
      <c r="D51" s="379"/>
      <c r="E51" s="379"/>
      <c r="F51" s="380"/>
      <c r="G51" s="381">
        <f>G50</f>
        <v>51574.070079999998</v>
      </c>
      <c r="H51" s="381">
        <f>H50</f>
        <v>32697.600000000002</v>
      </c>
      <c r="I51" s="382"/>
      <c r="K51" s="383"/>
    </row>
    <row r="52" spans="1:11">
      <c r="A52" s="377" t="s">
        <v>476</v>
      </c>
      <c r="B52" s="385"/>
      <c r="C52" s="379"/>
      <c r="D52" s="379"/>
      <c r="E52" s="379"/>
      <c r="F52" s="380"/>
      <c r="G52" s="381">
        <f>G49</f>
        <v>67046.291104000004</v>
      </c>
      <c r="H52" s="381">
        <f>H49</f>
        <v>42506.880000000005</v>
      </c>
      <c r="I52" s="382"/>
      <c r="K52" s="383"/>
    </row>
    <row r="53" spans="1:11" ht="29">
      <c r="A53" s="386" t="s">
        <v>477</v>
      </c>
      <c r="B53" s="385"/>
      <c r="C53" s="379"/>
      <c r="D53" s="379"/>
      <c r="E53" s="379"/>
      <c r="F53" s="380"/>
      <c r="G53" s="381">
        <f>G50</f>
        <v>51574.070079999998</v>
      </c>
      <c r="H53" s="381">
        <f>H50</f>
        <v>32697.600000000002</v>
      </c>
      <c r="I53" s="382"/>
      <c r="K53" s="383"/>
    </row>
    <row r="54" spans="1:11">
      <c r="A54" s="356"/>
      <c r="B54" s="356"/>
      <c r="C54" s="356"/>
      <c r="D54" s="356"/>
      <c r="E54" s="356"/>
      <c r="F54" s="356"/>
      <c r="G54" s="387"/>
      <c r="H54" s="387"/>
      <c r="I54" s="388"/>
      <c r="K54" s="389"/>
    </row>
    <row r="55" spans="1:11">
      <c r="A55" s="377" t="s">
        <v>478</v>
      </c>
      <c r="B55" s="356"/>
      <c r="C55" s="390"/>
      <c r="D55" s="390"/>
      <c r="E55" s="356"/>
      <c r="F55" s="356"/>
      <c r="G55" s="391">
        <f>SUM(G49/2080)*2860</f>
        <v>92188.650267999998</v>
      </c>
      <c r="H55" s="391">
        <f>SUM(H49/2080)*2860</f>
        <v>58446.960000000006</v>
      </c>
      <c r="I55" s="392"/>
      <c r="K55" s="393"/>
    </row>
    <row r="56" spans="1:11">
      <c r="D56" s="394"/>
      <c r="E56" s="394"/>
      <c r="F56" s="394"/>
      <c r="G56" s="353" t="s">
        <v>479</v>
      </c>
    </row>
    <row r="57" spans="1:11" ht="17" thickBot="1">
      <c r="C57" s="395"/>
      <c r="D57" s="362"/>
      <c r="E57" s="362"/>
      <c r="F57" s="362"/>
    </row>
    <row r="58" spans="1:11" ht="34">
      <c r="A58" s="396" t="s">
        <v>480</v>
      </c>
      <c r="B58" s="396" t="s">
        <v>481</v>
      </c>
      <c r="C58" s="397" t="s">
        <v>482</v>
      </c>
      <c r="D58" s="398" t="s">
        <v>483</v>
      </c>
      <c r="E58" s="399" t="s">
        <v>484</v>
      </c>
      <c r="F58" s="400" t="s">
        <v>485</v>
      </c>
      <c r="I58" s="370"/>
    </row>
    <row r="59" spans="1:11">
      <c r="A59" s="401" t="s">
        <v>486</v>
      </c>
      <c r="B59" s="402">
        <v>0.38</v>
      </c>
      <c r="C59" s="402">
        <v>0.25</v>
      </c>
      <c r="D59" s="402">
        <v>0.33</v>
      </c>
      <c r="E59" s="402">
        <v>0.25</v>
      </c>
      <c r="F59" s="403">
        <f>AVERAGE(B59:E59)</f>
        <v>0.30249999999999999</v>
      </c>
    </row>
    <row r="60" spans="1:11">
      <c r="A60" s="401" t="s">
        <v>487</v>
      </c>
      <c r="B60" s="402">
        <v>0.17</v>
      </c>
      <c r="C60" s="402">
        <v>0.16</v>
      </c>
      <c r="D60" s="402">
        <v>0.33</v>
      </c>
      <c r="E60" s="402"/>
      <c r="F60" s="403">
        <f>AVERAGE(B60:D60)</f>
        <v>0.22</v>
      </c>
    </row>
    <row r="61" spans="1:11" ht="17" thickBot="1">
      <c r="A61" s="401" t="s">
        <v>488</v>
      </c>
      <c r="B61" s="402">
        <v>0.25</v>
      </c>
      <c r="C61" s="402">
        <v>0.1</v>
      </c>
      <c r="D61" s="402">
        <v>0.2</v>
      </c>
      <c r="E61" s="402">
        <v>0.28000000000000003</v>
      </c>
      <c r="F61" s="404">
        <f>AVERAGE(B61:E61)</f>
        <v>0.20750000000000002</v>
      </c>
    </row>
    <row r="65" spans="1:5">
      <c r="A65" s="353" t="s">
        <v>489</v>
      </c>
      <c r="B65" s="353" t="s">
        <v>490</v>
      </c>
    </row>
    <row r="66" spans="1:5">
      <c r="A66" s="353" t="s">
        <v>491</v>
      </c>
      <c r="B66" s="353" t="s">
        <v>492</v>
      </c>
      <c r="E66" s="353">
        <v>2021</v>
      </c>
    </row>
  </sheetData>
  <mergeCells count="7">
    <mergeCell ref="A1:F1"/>
    <mergeCell ref="I4:K4"/>
    <mergeCell ref="L4:O4"/>
    <mergeCell ref="G37:G42"/>
    <mergeCell ref="H37:H42"/>
    <mergeCell ref="I37:I42"/>
    <mergeCell ref="K37:K42"/>
  </mergeCells>
  <pageMargins left="0.7" right="0.7" top="0.75" bottom="0.75" header="0.3" footer="0.3"/>
  <legacyDrawing r:id="rId1"/>
  <tableParts count="4"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E0CA48B592B540AE872CD132CDA518" ma:contentTypeVersion="15" ma:contentTypeDescription="Create a new document." ma:contentTypeScope="" ma:versionID="1c497b26ad955b42f414433328f42ce0">
  <xsd:schema xmlns:xsd="http://www.w3.org/2001/XMLSchema" xmlns:xs="http://www.w3.org/2001/XMLSchema" xmlns:p="http://schemas.microsoft.com/office/2006/metadata/properties" xmlns:ns2="db02e63f-c57a-4094-ac27-81bb96728ce4" xmlns:ns3="10e25aaf-7277-47a3-ac6f-8bf087b3d215" targetNamespace="http://schemas.microsoft.com/office/2006/metadata/properties" ma:root="true" ma:fieldsID="15286229caeb0d597eb765ea041c5609" ns2:_="" ns3:_="">
    <xsd:import namespace="db02e63f-c57a-4094-ac27-81bb96728ce4"/>
    <xsd:import namespace="10e25aaf-7277-47a3-ac6f-8bf087b3d2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02e63f-c57a-4094-ac27-81bb96728c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adc2e105-0a4e-4d3e-b8dd-4fcf47bc680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e25aaf-7277-47a3-ac6f-8bf087b3d21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a8116259-e888-4ce3-a483-c6a743b01ed1}" ma:internalName="TaxCatchAll" ma:showField="CatchAllData" ma:web="10e25aaf-7277-47a3-ac6f-8bf087b3d2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0e25aaf-7277-47a3-ac6f-8bf087b3d215" xsi:nil="true"/>
    <lcf76f155ced4ddcb4097134ff3c332f xmlns="db02e63f-c57a-4094-ac27-81bb96728ce4">
      <Terms xmlns="http://schemas.microsoft.com/office/infopath/2007/PartnerControls"/>
    </lcf76f155ced4ddcb4097134ff3c332f>
    <SharedWithUsers xmlns="10e25aaf-7277-47a3-ac6f-8bf087b3d215">
      <UserInfo>
        <DisplayName>Jeanna Capito [P5FS]</DisplayName>
        <AccountId>13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E1B9008A-8178-457C-8901-F3C78DEBC3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BF1B6C2-C156-4436-A3B7-6F9DA1997F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02e63f-c57a-4094-ac27-81bb96728ce4"/>
    <ds:schemaRef ds:uri="10e25aaf-7277-47a3-ac6f-8bf087b3d2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391BE58-CCC7-43E4-BAB4-B18A6DAE48D8}">
  <ds:schemaRefs>
    <ds:schemaRef ds:uri="db02e63f-c57a-4094-ac27-81bb96728ce4"/>
    <ds:schemaRef ds:uri="http://www.w3.org/XML/1998/namespace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10e25aaf-7277-47a3-ac6f-8bf087b3d215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54</vt:i4>
      </vt:variant>
    </vt:vector>
  </HeadingPairs>
  <TitlesOfParts>
    <vt:vector size="64" baseType="lpstr">
      <vt:lpstr>Child Care Center</vt:lpstr>
      <vt:lpstr>Quality Center Profile</vt:lpstr>
      <vt:lpstr>Family Child Care Home</vt:lpstr>
      <vt:lpstr>QualityHomeProfile</vt:lpstr>
      <vt:lpstr>Wages</vt:lpstr>
      <vt:lpstr>Variables</vt:lpstr>
      <vt:lpstr>Nonpersonnel</vt:lpstr>
      <vt:lpstr>Subsidy rates</vt:lpstr>
      <vt:lpstr>Fed CACFP</vt:lpstr>
      <vt:lpstr>Min wage</vt:lpstr>
      <vt:lpstr>_NumberTeachingStaff</vt:lpstr>
      <vt:lpstr>AdditionalBenefits</vt:lpstr>
      <vt:lpstr>Addl_benefits_per_staff</vt:lpstr>
      <vt:lpstr>Admin_Staff</vt:lpstr>
      <vt:lpstr>Asst_Teacher</vt:lpstr>
      <vt:lpstr>BadDebt</vt:lpstr>
      <vt:lpstr>EnrollEffic</vt:lpstr>
      <vt:lpstr>Floater_Assts</vt:lpstr>
      <vt:lpstr>HealthIns</vt:lpstr>
      <vt:lpstr>HealthInsFCC</vt:lpstr>
      <vt:lpstr>InfantClassrooms</vt:lpstr>
      <vt:lpstr>Infants</vt:lpstr>
      <vt:lpstr>KinderParity</vt:lpstr>
      <vt:lpstr>LeadTeacher</vt:lpstr>
      <vt:lpstr>MandatoryBenefits</vt:lpstr>
      <vt:lpstr>Nonpersonnel</vt:lpstr>
      <vt:lpstr>NP_EdProgram</vt:lpstr>
      <vt:lpstr>NP_EdProgramFCC</vt:lpstr>
      <vt:lpstr>NP_MgtAdmin</vt:lpstr>
      <vt:lpstr>NP_MgtAdminFCC</vt:lpstr>
      <vt:lpstr>NP_Occupancy</vt:lpstr>
      <vt:lpstr>NP_OccupancyFCC</vt:lpstr>
      <vt:lpstr>Occupancy</vt:lpstr>
      <vt:lpstr>Paid_Leave</vt:lpstr>
      <vt:lpstr>PaidLeaveFCC</vt:lpstr>
      <vt:lpstr>Personnel</vt:lpstr>
      <vt:lpstr>Pre3Children</vt:lpstr>
      <vt:lpstr>Preschoolers</vt:lpstr>
      <vt:lpstr>PreschoolersClassroom</vt:lpstr>
      <vt:lpstr>PreschoolersClassroom3</vt:lpstr>
      <vt:lpstr>'Child Care Center'!Print_Area</vt:lpstr>
      <vt:lpstr>'Family Child Care Home'!Print_Area</vt:lpstr>
      <vt:lpstr>QualityHomeProfile!Print_Area</vt:lpstr>
      <vt:lpstr>RatioOpt</vt:lpstr>
      <vt:lpstr>Region</vt:lpstr>
      <vt:lpstr>RegionFCC</vt:lpstr>
      <vt:lpstr>Reserve_Fund</vt:lpstr>
      <vt:lpstr>Salary</vt:lpstr>
      <vt:lpstr>SalaryLevel</vt:lpstr>
      <vt:lpstr>SalaryScaleFCC</vt:lpstr>
      <vt:lpstr>SchoolageClassroom</vt:lpstr>
      <vt:lpstr>Schoolagers</vt:lpstr>
      <vt:lpstr>Sick_Days</vt:lpstr>
      <vt:lpstr>SickDaysFCC</vt:lpstr>
      <vt:lpstr>StarLevel</vt:lpstr>
      <vt:lpstr>Subs</vt:lpstr>
      <vt:lpstr>ThreesClassrooms</vt:lpstr>
      <vt:lpstr>ToddlerClassrooms</vt:lpstr>
      <vt:lpstr>Toddlers</vt:lpstr>
      <vt:lpstr>TotalChildren</vt:lpstr>
      <vt:lpstr>TotalClassrooms</vt:lpstr>
      <vt:lpstr>Twos</vt:lpstr>
      <vt:lpstr>TwosClassroom</vt:lpstr>
      <vt:lpstr>TwosClassrooms</vt:lpstr>
    </vt:vector>
  </TitlesOfParts>
  <Manager/>
  <Company>Early Childhood Policy Research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Anne Mitchell</dc:creator>
  <cp:keywords/>
  <dc:description/>
  <cp:lastModifiedBy>Simon Workman [P5FS]</cp:lastModifiedBy>
  <cp:revision/>
  <dcterms:created xsi:type="dcterms:W3CDTF">2008-09-19T15:38:02Z</dcterms:created>
  <dcterms:modified xsi:type="dcterms:W3CDTF">2024-07-03T15:40:50Z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0x010100E0E0CA48B592B540AE872CD132CDA518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xd_Signature">
    <vt:bool>false</vt:bool>
  </property>
  <property fmtid="{D5CDD505-2E9C-101B-9397-08002B2CF9AE}" pid="12" name="SharedWithUsers">
    <vt:lpwstr>13;#Jeanna Capito [P5FS]</vt:lpwstr>
  </property>
</Properties>
</file>